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160745\Downloads\Water Supply System Design Calculation - High Rise Building\"/>
    </mc:Choice>
  </mc:AlternateContent>
  <xr:revisionPtr revIDLastSave="0" documentId="13_ncr:1_{7A83EF1C-B648-481D-98B0-EB763822F000}" xr6:coauthVersionLast="47" xr6:coauthVersionMax="47" xr10:uidLastSave="{00000000-0000-0000-0000-000000000000}"/>
  <bookViews>
    <workbookView xWindow="-120" yWindow="-120" windowWidth="29040" windowHeight="15720" tabRatio="500" xr2:uid="{00000000-000D-0000-FFFF-FFFF00000000}"/>
  </bookViews>
  <sheets>
    <sheet name="Design Calculations" sheetId="1" r:id="rId1"/>
    <sheet name="Std Sizes &amp; Reference" sheetId="2" r:id="rId2"/>
    <sheet name="Legend &amp; Assump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83" i="1" l="1"/>
  <c r="H83" i="1" s="1"/>
  <c r="G82" i="1"/>
  <c r="H82" i="1" s="1"/>
  <c r="G81" i="1"/>
  <c r="H81" i="1" s="1"/>
  <c r="G80" i="1"/>
  <c r="H80" i="1" s="1"/>
  <c r="G79" i="1"/>
  <c r="H79" i="1" s="1"/>
  <c r="C72" i="1"/>
  <c r="C70" i="1"/>
  <c r="C56" i="1"/>
  <c r="C40" i="1"/>
  <c r="E25" i="1"/>
  <c r="C19" i="1"/>
  <c r="C26" i="1" s="1"/>
  <c r="C27" i="1" s="1"/>
  <c r="C15" i="1"/>
  <c r="C69" i="1" s="1"/>
  <c r="C71" i="1" s="1"/>
  <c r="C73" i="1" s="1"/>
  <c r="C92" i="1" s="1"/>
  <c r="C35" i="1" l="1"/>
  <c r="C36" i="1" s="1"/>
  <c r="C88" i="1" s="1"/>
  <c r="C29" i="1"/>
  <c r="C31" i="1" s="1"/>
  <c r="C46" i="1"/>
  <c r="C49" i="1" s="1"/>
  <c r="C41" i="1" l="1"/>
  <c r="C89" i="1" s="1"/>
  <c r="C61" i="1"/>
  <c r="C87" i="1"/>
  <c r="C44" i="1"/>
  <c r="C45" i="1" s="1"/>
  <c r="C52" i="1" s="1"/>
  <c r="C53" i="1" s="1"/>
  <c r="C57" i="1" s="1"/>
  <c r="C90" i="1" l="1"/>
  <c r="C58" i="1"/>
  <c r="C62" i="1"/>
  <c r="C64" i="1" s="1"/>
  <c r="C65" i="1" s="1"/>
  <c r="D78" i="1"/>
  <c r="C78" i="1"/>
  <c r="G78" i="1" l="1"/>
  <c r="C66" i="1"/>
  <c r="C91" i="1" l="1"/>
  <c r="H7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52" authorId="0" shapeId="0" xr:uid="{00000000-0006-0000-0000-000001000000}">
      <text>
        <r>
          <rPr>
            <sz val="10"/>
            <rFont val="Arial"/>
            <family val="2"/>
          </rPr>
          <t>CORRECTION: The original hand-drawn reference chart this sheet is based on stated 4.07 kW here, but recalculating its own formula (P = rho x g x Q x H / eta, with Q converted to m3/s) gives 3.94 kW. This cell uses the corrected formula. The final selected standard motor rating (5.5 HP) is unaffected either way.</t>
        </r>
      </text>
    </comment>
  </commentList>
</comments>
</file>

<file path=xl/sharedStrings.xml><?xml version="1.0" encoding="utf-8"?>
<sst xmlns="http://schemas.openxmlformats.org/spreadsheetml/2006/main" count="256" uniqueCount="214">
  <si>
    <t>WATER SUPPLY SYSTEM DESIGN CALCULATOR — HIGH-RISE BUILDING</t>
  </si>
  <si>
    <t>Reliable Supply  •  Adequate Pressure  •  Efficient Design  •  Water Conservation   (per CPHEEO Manual / NBC 2016 / IS 1172)</t>
  </si>
  <si>
    <t>PROJECT INFORMATION</t>
  </si>
  <si>
    <t>Project Name</t>
  </si>
  <si>
    <t>Enter project name</t>
  </si>
  <si>
    <t>Location</t>
  </si>
  <si>
    <t>Riyadh, Saudi Arabia</t>
  </si>
  <si>
    <t>Prepared By</t>
  </si>
  <si>
    <t>Enter name</t>
  </si>
  <si>
    <t>Date</t>
  </si>
  <si>
    <t>Enter date</t>
  </si>
  <si>
    <t>1.  DESIGN BASIS</t>
  </si>
  <si>
    <t>Building Type</t>
  </si>
  <si>
    <t>Residential</t>
  </si>
  <si>
    <t>Select from dropdown</t>
  </si>
  <si>
    <t>No. of Floors (as described)</t>
  </si>
  <si>
    <t>G+20</t>
  </si>
  <si>
    <t>Descriptive label only (e.g. G+20)</t>
  </si>
  <si>
    <t>No. of Floors used in Calculation</t>
  </si>
  <si>
    <t>floors</t>
  </si>
  <si>
    <t>Habitable floors used for height &amp; population below</t>
  </si>
  <si>
    <t>Floor-to-Floor Height</t>
  </si>
  <si>
    <t>m</t>
  </si>
  <si>
    <t>Total Building Height</t>
  </si>
  <si>
    <t>Formula: No. of floors x floor height</t>
  </si>
  <si>
    <t>No. of Units per Floor</t>
  </si>
  <si>
    <t>nos.</t>
  </si>
  <si>
    <t>Unit Type</t>
  </si>
  <si>
    <t>4BHK</t>
  </si>
  <si>
    <t>Persons per Unit</t>
  </si>
  <si>
    <t>persons</t>
  </si>
  <si>
    <t>Total Population Served</t>
  </si>
  <si>
    <t>Formula: floors x units/floor x persons/unit</t>
  </si>
  <si>
    <t>Water Supply Source</t>
  </si>
  <si>
    <t>Municipal + Underground Sump (UG Sump)</t>
  </si>
  <si>
    <t>System Type</t>
  </si>
  <si>
    <t>Overhead Tank with Booster Pump System</t>
  </si>
  <si>
    <t>Design Standards Reference</t>
  </si>
  <si>
    <t>CPHEEO Manual + NBC 2016 + IS 1172</t>
  </si>
  <si>
    <t>2.  WATER DEMAND CALCULATION</t>
  </si>
  <si>
    <t>Per Capita Water Demand</t>
  </si>
  <si>
    <t>lpcd</t>
  </si>
  <si>
    <t>Total Average Daily Demand</t>
  </si>
  <si>
    <t>L/day</t>
  </si>
  <si>
    <t>Formula: population x per-capita demand</t>
  </si>
  <si>
    <t>m3/day</t>
  </si>
  <si>
    <t>Peak Day Factor</t>
  </si>
  <si>
    <t>-</t>
  </si>
  <si>
    <t>CPHEEO recommended = 1.8</t>
  </si>
  <si>
    <t>Maximum Day Demand</t>
  </si>
  <si>
    <t>Formula: avg daily demand x peak day factor</t>
  </si>
  <si>
    <t>Peak Hour Factor</t>
  </si>
  <si>
    <t>CPHEEO: ~2.7 for population &lt; 50,000</t>
  </si>
  <si>
    <t>DESIGN FLOW (Max Hour Demand)</t>
  </si>
  <si>
    <t>m3/hr</t>
  </si>
  <si>
    <t>Formula: (max day demand / 24) x peak hour factor  — used throughout</t>
  </si>
  <si>
    <t>3.  OVERHEAD TANK (OHT) SIZING</t>
  </si>
  <si>
    <t>Storage Capacity Fraction of Daily Demand</t>
  </si>
  <si>
    <t>Typically 1/3 to 1/2 of daily demand (NBC)</t>
  </si>
  <si>
    <t>Required OHT Capacity</t>
  </si>
  <si>
    <t>m3</t>
  </si>
  <si>
    <t>Formula: avg daily demand x storage fraction</t>
  </si>
  <si>
    <t>Adopted OHT Capacity</t>
  </si>
  <si>
    <t>Auto-rounded up to next 5 m3; verify vs. market-available tank size</t>
  </si>
  <si>
    <t>Tank Internal Length</t>
  </si>
  <si>
    <t>Tank Internal Width</t>
  </si>
  <si>
    <t>Tank Water Depth</t>
  </si>
  <si>
    <t>Provided Tank Volume</t>
  </si>
  <si>
    <t>Formula: L x W x Depth</t>
  </si>
  <si>
    <t>Tank Capacity Check</t>
  </si>
  <si>
    <t>4.  BOOSTER PUMP SELECTION</t>
  </si>
  <si>
    <t>Design Flow, Q</t>
  </si>
  <si>
    <t>linked from Section 2</t>
  </si>
  <si>
    <t>m3/s</t>
  </si>
  <si>
    <t>Formula: Q(m3/hr) / 3600</t>
  </si>
  <si>
    <t>Static Head (Building Height)</t>
  </si>
  <si>
    <t>linked from Section 1</t>
  </si>
  <si>
    <t>Friction Head Allowance</t>
  </si>
  <si>
    <t>Assume, or calculate via Hazen-Williams for actual pipe run</t>
  </si>
  <si>
    <t>Residual Head Required at Top Floor</t>
  </si>
  <si>
    <t>Min. 7-10 m typical (verify with local code)</t>
  </si>
  <si>
    <t>Total Dynamic Head (TDH)</t>
  </si>
  <si>
    <t>Formula: static head + friction head + residual head</t>
  </si>
  <si>
    <t>Water Density</t>
  </si>
  <si>
    <t>kg/m3</t>
  </si>
  <si>
    <t>Pump Efficiency</t>
  </si>
  <si>
    <t>Enter as fraction (0.65 = 65%)</t>
  </si>
  <si>
    <t>Hydraulic Power Required</t>
  </si>
  <si>
    <t>kW</t>
  </si>
  <si>
    <t>P = rho x g x Q(m3/s) x TDH / (eff x 1000)</t>
  </si>
  <si>
    <t>Power Required</t>
  </si>
  <si>
    <t>HP</t>
  </si>
  <si>
    <t>Formula: kW / 0.7457</t>
  </si>
  <si>
    <t>No. of Duty (Working) Pumps</t>
  </si>
  <si>
    <t>No. of Standby Pumps</t>
  </si>
  <si>
    <t>Pump Configuration</t>
  </si>
  <si>
    <t>Selected Standard Motor Rating (each pump)</t>
  </si>
  <si>
    <t>Next available standard rating &gt;= power required</t>
  </si>
  <si>
    <t>5.  RISER (RISING MAIN) DESIGN</t>
  </si>
  <si>
    <t>Adopted Flow Velocity</t>
  </si>
  <si>
    <t>m/s</t>
  </si>
  <si>
    <t>Recommended range: 1.0 - 2.0 m/s</t>
  </si>
  <si>
    <t>Calculated Riser Diameter</t>
  </si>
  <si>
    <t>D = SQRT(4Q / (pi x V))</t>
  </si>
  <si>
    <t>mm</t>
  </si>
  <si>
    <t>Adopted Riser Size (NB)</t>
  </si>
  <si>
    <t>Next standard pipe size &gt;= calculated diameter</t>
  </si>
  <si>
    <t>6.  PRESSURE CHECK AT TOP FLOOR</t>
  </si>
  <si>
    <t>Static Pressure at Top Floor</t>
  </si>
  <si>
    <t>bar</t>
  </si>
  <si>
    <t>P = rho x g x H / 100,000</t>
  </si>
  <si>
    <t>Friction Loss in Riser</t>
  </si>
  <si>
    <t>Derived from Friction Head (Sec. 4) for consistency</t>
  </si>
  <si>
    <t>Available Pressure at Top Floor</t>
  </si>
  <si>
    <t>Formula: static pressure - friction loss</t>
  </si>
  <si>
    <t>Required Residual Pressure at Top Floor</t>
  </si>
  <si>
    <t>Derived from Residual Head (Sec. 4) for consistency</t>
  </si>
  <si>
    <t>Pressure Adequacy Check</t>
  </si>
  <si>
    <t>Note</t>
  </si>
  <si>
    <t>Pressure at lower floors will be higher than top floor. Provide a Pressure Reducing Valve (PRV) if required to limit excess pressure at lower floors (typically &lt; 3.5-4 bar at fixtures).</t>
  </si>
  <si>
    <t>7.  PIPE SIZE SUMMARY</t>
  </si>
  <si>
    <t>Section</t>
  </si>
  <si>
    <t>Flow Low
(m3/hr)</t>
  </si>
  <si>
    <t>Flow High
(m3/hr)</t>
  </si>
  <si>
    <t>Velocity Low
(m/s)</t>
  </si>
  <si>
    <t>Velocity High
(m/s)</t>
  </si>
  <si>
    <t>Calculated Dia
(mm)</t>
  </si>
  <si>
    <t>Adopted Size
(mm NB)</t>
  </si>
  <si>
    <t>Rising Main (Riser)</t>
  </si>
  <si>
    <t>Floor Distribution Main</t>
  </si>
  <si>
    <t>Branch to Kitchen Sink</t>
  </si>
  <si>
    <t>Branch to Wash Basin</t>
  </si>
  <si>
    <t>Branch to Shower</t>
  </si>
  <si>
    <t>Branch to W.C.</t>
  </si>
  <si>
    <t>Notes</t>
  </si>
  <si>
    <t>8.  DESIGN CHECKLIST</t>
  </si>
  <si>
    <t>Water demand calculated</t>
  </si>
  <si>
    <t>Overhead tank sized</t>
  </si>
  <si>
    <t>Tank capacity adequate</t>
  </si>
  <si>
    <t>Booster pump selected</t>
  </si>
  <si>
    <t>Riser size calculated</t>
  </si>
  <si>
    <t>Pressure at top floor checked</t>
  </si>
  <si>
    <t>Floor distribution pipe sizes set</t>
  </si>
  <si>
    <t>[DONE]</t>
  </si>
  <si>
    <t>Valves, air release &amp; drain points provided</t>
  </si>
  <si>
    <t>Verify on drawings</t>
  </si>
  <si>
    <t>9.  KEY DESIGN NOTES</t>
  </si>
  <si>
    <t>•  Ensure minimum 1.0 bar pressure is available at the top floor fixtures.</t>
  </si>
  <si>
    <t>•  Maintain flow velocity within the recommended range (1.0-2.0 m/s in risers, 0.6-1.5 m/s in branches).</t>
  </si>
  <si>
    <t>•  Provide a standby pump for uninterrupted supply (typical duty: 1 Working + 1 Standby).</t>
  </si>
  <si>
    <t>•  Follow CPHEEO Manual / NBC 2016 / IS 1172 guidelines and local municipal code for final design.</t>
  </si>
  <si>
    <t>•  System components: UG Sump, Booster Pump Set, NRV/Gate Valves/Pressure Gauge, Rising Main (Riser), Overhead Tank with Float Valve, Distribution Piping, Air Release Valve, Drain Valve, PRV (if required), Water Meter (if by-law requires).</t>
  </si>
  <si>
    <t>GOOD DESIGN DELIVERS WATER WHERE IT IS NEEDED, WHEN IT IS NEEDED, AT THE RIGHT PRESSURE.</t>
  </si>
  <si>
    <t>REFERENCE TABLES &amp; STANDARD SIZES</t>
  </si>
  <si>
    <t>Standard Pipe Sizes (NB, mm)</t>
  </si>
  <si>
    <t>Standard Pump Motor Ratings (HP)</t>
  </si>
  <si>
    <t>Typical Water Demand (CPHEEO / NBC 2016)</t>
  </si>
  <si>
    <t>Residential (with sewerage)</t>
  </si>
  <si>
    <t>135</t>
  </si>
  <si>
    <t>Residential (higher income)</t>
  </si>
  <si>
    <t>150-200</t>
  </si>
  <si>
    <t>Hotel (per bed)</t>
  </si>
  <si>
    <t>180</t>
  </si>
  <si>
    <t>lpd/bed</t>
  </si>
  <si>
    <t>Hospital &gt;100 beds (per bed)</t>
  </si>
  <si>
    <t>450</t>
  </si>
  <si>
    <t>Office / Commercial (per person)</t>
  </si>
  <si>
    <t>45</t>
  </si>
  <si>
    <t>School (per student, day)</t>
  </si>
  <si>
    <t>Restaurant (per seat)</t>
  </si>
  <si>
    <t>70</t>
  </si>
  <si>
    <t>lpd/seat</t>
  </si>
  <si>
    <t>Source: CPHEEO Manual on Water Supply &amp; Treatment; NBC 2016 Part 9</t>
  </si>
  <si>
    <t>(CPVC/UPVC/PP-R/GI standard nominal bore sizes)</t>
  </si>
  <si>
    <t>(Typical commercially available motor/pump ratings)</t>
  </si>
  <si>
    <t>Peak Factors (CPHEEO Manual)</t>
  </si>
  <si>
    <t>Max Daily Demand Factor</t>
  </si>
  <si>
    <t>1.8  (x avg daily demand)</t>
  </si>
  <si>
    <t>Max Hourly Demand Factor</t>
  </si>
  <si>
    <t>2.7  (population &lt; 50,000)</t>
  </si>
  <si>
    <t>1.5 - 2.0  (population &gt; 1,000,000)</t>
  </si>
  <si>
    <t>Building Type List (dropdown source)</t>
  </si>
  <si>
    <t>Residential (Luxury)</t>
  </si>
  <si>
    <t>Hotel</t>
  </si>
  <si>
    <t>Hospital</t>
  </si>
  <si>
    <t>Office/Commercial</t>
  </si>
  <si>
    <t>School</t>
  </si>
  <si>
    <t>Mixed Use</t>
  </si>
  <si>
    <t>LEGEND, ASSUMPTIONS &amp; CORRECTIONS</t>
  </si>
  <si>
    <t>COLOR LEGEND</t>
  </si>
  <si>
    <t xml:space="preserve">  Blue text, yellow fill   —   Engineer input — edit these cells for your project.</t>
  </si>
  <si>
    <t xml:space="preserve">  Black text, white fill   —   Calculated automatically — do not overwrite.</t>
  </si>
  <si>
    <t xml:space="preserve">  Green text   —   Linked from another section/sheet — do not overwrite.</t>
  </si>
  <si>
    <t xml:space="preserve">  Bold value in pale blue fill   —   Key result cell (design flow, power, adopted sizes, checks).</t>
  </si>
  <si>
    <t>HOW TO USE THIS WORKBOOK</t>
  </si>
  <si>
    <t>1. Go to the 'Design Calculations' sheet and fill in every yellow-highlighted (blue text) input cell with your project's actual data.</t>
  </si>
  <si>
    <t>2. All formula cells recalculate automatically as you change inputs — no manual re-entry needed.</t>
  </si>
  <si>
    <t>3. Adopted pipe sizes and pump motor ratings auto-select the next available standard size from the 'Std Sizes &amp; Reference' sheet; add/edit that list if your supplier's range differs.</t>
  </si>
  <si>
    <t>4. Check Section 3 (Tank Capacity Check), Section 6 (Pressure Adequacy Check), and Section 8 (Design Checklist) for pass/fail results before finalizing.</t>
  </si>
  <si>
    <t>5. Values in green are linked from earlier sections — change the source cell, not the linked cell.</t>
  </si>
  <si>
    <t>CORRECTIONS MADE vs. THE ORIGINAL REFERENCE CHART</t>
  </si>
  <si>
    <t>1. Booster pump power: the original chart's own formula (P = rho x g x Q x H / eta) works out to 3.94 kW, not the 4.07 kW shown. This has been corrected here — it does not change the final pump selection, which still rounds up to a standard 5.5 HP motor either way.</t>
  </si>
  <si>
    <t>2. Friction loss (bar) and required residual pressure (bar) in the pressure check are now derived directly from the Friction Head (m) and Residual Head (m) inputs used for the pump TDH calculation (p = rho x g x h / 100,000), instead of being separate, disconnected assumptions — so both sections stay consistent automatically if you change either value.</t>
  </si>
  <si>
    <t>3. All pipe sizes (riser and branches) now auto-select the nearest standard NB size &gt;= the calculated diameter from a standard sizes table, instead of being fixed numbers.</t>
  </si>
  <si>
    <t>4. The pump motor rating auto-selects the nearest standard HP rating &gt;= the calculated power requirement.</t>
  </si>
  <si>
    <t>5. Overhead tank capacity auto-rounds the calculated requirement up to the next 5 m3 increment; confirm the final figure against tanks actually available from your supplier.</t>
  </si>
  <si>
    <t>6. 'No. of Floors (G+20)' is kept as a descriptive label only; a separate numeric 'No. of Floors used in Calculation' input drives the height and population formulas, since the original chart's population and height figures were both based on 20 floors rather than 21 (G + 20).</t>
  </si>
  <si>
    <t>KEY ASSUMPTIONS &amp; STANDARDS REFERENCED</t>
  </si>
  <si>
    <t>•  Per capita water demand, peak day/hour factors: CPHEEO Manual on Water Supply and Treatment.</t>
  </si>
  <si>
    <t>•  Overhead tank capacity: 1/3 to 1/2 of average daily demand, per NBC 2016 Part 9.</t>
  </si>
  <si>
    <t>•  Pipe velocity ranges: 1.0-2.0 m/s in risers/rising mains, 0.6-1.5 m/s in branch/distribution piping — typical plumbing design practice.</t>
  </si>
  <si>
    <t>•  Minimum residual pressure at the topmost fixture: commonly 1.0 bar (~10 m head); confirm against local plumbing code.</t>
  </si>
  <si>
    <t>•  Friction head/loss is an assumed allowance in this template; for detailed design, calculate actual friction loss using the Hazen-Williams or Darcy-Weisbach equation based on actual pipe lengths, fittings, and material roughness.</t>
  </si>
  <si>
    <t>•  Standard pipe and pump sizes listed are typical commercially available ranges — verify against your specific supplier/manufacturer catalogue.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</si>
</sst>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00"/>
    <numFmt numFmtId="166" formatCode="0.0%"/>
    <numFmt numFmtId="167" formatCode="0.0"/>
  </numFmts>
  <fonts count="14" x14ac:knownFonts="1">
    <font>
      <sz val="11"/>
      <color theme="1"/>
      <name val="Calibri"/>
      <family val="2"/>
      <charset val="1"/>
    </font>
    <font>
      <b/>
      <sz val="18"/>
      <color rgb="FFFFFFFF"/>
      <name val="Arial"/>
      <charset val="1"/>
    </font>
    <font>
      <i/>
      <sz val="10"/>
      <color rgb="FF1F4E78"/>
      <name val="Arial"/>
      <charset val="1"/>
    </font>
    <font>
      <b/>
      <sz val="11"/>
      <color rgb="FFFFFFFF"/>
      <name val="Arial"/>
      <charset val="1"/>
    </font>
    <font>
      <sz val="10"/>
      <color rgb="FF000000"/>
      <name val="Arial"/>
      <charset val="1"/>
    </font>
    <font>
      <b/>
      <sz val="10"/>
      <color rgb="FF0000FF"/>
      <name val="Arial"/>
      <charset val="1"/>
    </font>
    <font>
      <i/>
      <sz val="9"/>
      <color rgb="FF595959"/>
      <name val="Arial"/>
      <charset val="1"/>
    </font>
    <font>
      <i/>
      <sz val="8"/>
      <color rgb="FF7F7F7F"/>
      <name val="Arial"/>
      <charset val="1"/>
    </font>
    <font>
      <b/>
      <sz val="10"/>
      <color rgb="FF000000"/>
      <name val="Arial"/>
      <charset val="1"/>
    </font>
    <font>
      <sz val="10"/>
      <color rgb="FF006100"/>
      <name val="Arial"/>
      <charset val="1"/>
    </font>
    <font>
      <sz val="9"/>
      <color rgb="FF000000"/>
      <name val="Arial"/>
      <charset val="1"/>
    </font>
    <font>
      <b/>
      <i/>
      <sz val="9"/>
      <color rgb="FF1F4E78"/>
      <name val="Arial"/>
      <charset val="1"/>
    </font>
    <font>
      <sz val="10"/>
      <name val="Arial"/>
      <family val="2"/>
    </font>
    <font>
      <b/>
      <sz val="14"/>
      <color rgb="FF1F4E78"/>
      <name val="Arial"/>
      <charset val="1"/>
    </font>
  </fonts>
  <fills count="7">
    <fill>
      <patternFill patternType="none"/>
    </fill>
    <fill>
      <patternFill patternType="gray125"/>
    </fill>
    <fill>
      <patternFill patternType="solid">
        <fgColor rgb="FF1F4E78"/>
        <bgColor rgb="FF003366"/>
      </patternFill>
    </fill>
    <fill>
      <patternFill patternType="solid">
        <fgColor rgb="FF2E75B6"/>
        <bgColor rgb="FF0066CC"/>
      </patternFill>
    </fill>
    <fill>
      <patternFill patternType="solid">
        <fgColor rgb="FFFFF2CC"/>
        <bgColor rgb="FFF2F2F2"/>
      </patternFill>
    </fill>
    <fill>
      <patternFill patternType="solid">
        <fgColor rgb="FFD9E1F2"/>
        <bgColor rgb="FFF2F2F2"/>
      </patternFill>
    </fill>
    <fill>
      <patternFill patternType="solid">
        <fgColor rgb="FFF2F2F2"/>
        <bgColor rgb="FFFFFF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6">
    <xf numFmtId="0" fontId="0" fillId="0" borderId="0" xfId="0"/>
    <xf numFmtId="0" fontId="8" fillId="5" borderId="0" xfId="0" applyFont="1" applyFill="1" applyBorder="1"/>
    <xf numFmtId="0" fontId="13" fillId="0" borderId="0" xfId="0" applyFont="1" applyBorder="1"/>
    <xf numFmtId="0" fontId="11" fillId="0" borderId="0" xfId="0" applyFont="1" applyBorder="1" applyAlignment="1">
      <alignment horizontal="center"/>
    </xf>
    <xf numFmtId="0" fontId="10" fillId="6" borderId="0" xfId="0" applyFont="1" applyFill="1" applyBorder="1" applyAlignment="1">
      <alignment horizontal="left" vertical="center" wrapText="1"/>
    </xf>
    <xf numFmtId="0" fontId="7" fillId="0" borderId="0" xfId="0" applyFont="1" applyBorder="1" applyAlignment="1">
      <alignment horizontal="left" vertical="center" wrapText="1"/>
    </xf>
    <xf numFmtId="0" fontId="3" fillId="3" borderId="0" xfId="0" applyFont="1" applyFill="1" applyBorder="1" applyAlignment="1">
      <alignment horizontal="left" vertical="center" indent="1"/>
    </xf>
    <xf numFmtId="0" fontId="2" fillId="0" borderId="0" xfId="0" applyFont="1" applyBorder="1" applyAlignment="1">
      <alignment horizontal="center" vertical="center"/>
    </xf>
    <xf numFmtId="0" fontId="1" fillId="2" borderId="0" xfId="0" applyFont="1" applyFill="1" applyBorder="1" applyAlignment="1">
      <alignment horizontal="center" vertical="center"/>
    </xf>
    <xf numFmtId="0" fontId="3" fillId="3" borderId="0" xfId="0" applyFont="1" applyFill="1" applyBorder="1" applyAlignment="1">
      <alignment horizontal="left" vertical="center" indent="1"/>
    </xf>
    <xf numFmtId="0" fontId="4" fillId="0" borderId="0" xfId="0" applyFont="1" applyAlignment="1">
      <alignment horizontal="left" vertical="center" wrapText="1"/>
    </xf>
    <xf numFmtId="0" fontId="5" fillId="4" borderId="1" xfId="0" applyFont="1" applyFill="1" applyBorder="1" applyAlignment="1">
      <alignment horizontal="right" vertical="center"/>
    </xf>
    <xf numFmtId="0" fontId="6" fillId="0" borderId="0" xfId="0" applyFont="1" applyAlignment="1">
      <alignment horizontal="left" vertical="center"/>
    </xf>
    <xf numFmtId="0" fontId="7" fillId="0" borderId="0" xfId="0" applyFont="1" applyAlignment="1">
      <alignment horizontal="left" vertical="center" wrapText="1"/>
    </xf>
    <xf numFmtId="1" fontId="5" fillId="4" borderId="1" xfId="0" applyNumberFormat="1" applyFont="1" applyFill="1" applyBorder="1" applyAlignment="1">
      <alignment horizontal="right" vertical="center"/>
    </xf>
    <xf numFmtId="2" fontId="5" fillId="4" borderId="1" xfId="0" applyNumberFormat="1" applyFont="1" applyFill="1" applyBorder="1" applyAlignment="1">
      <alignment horizontal="right" vertical="center"/>
    </xf>
    <xf numFmtId="2" fontId="4" fillId="0" borderId="1" xfId="0" applyNumberFormat="1" applyFont="1" applyBorder="1" applyAlignment="1">
      <alignment horizontal="right" vertical="center"/>
    </xf>
    <xf numFmtId="1" fontId="4" fillId="0" borderId="1" xfId="0" applyNumberFormat="1" applyFont="1" applyBorder="1" applyAlignment="1">
      <alignment horizontal="right" vertical="center"/>
    </xf>
    <xf numFmtId="3" fontId="4" fillId="0" borderId="1" xfId="0" applyNumberFormat="1" applyFont="1" applyBorder="1" applyAlignment="1">
      <alignment horizontal="right" vertical="center"/>
    </xf>
    <xf numFmtId="2" fontId="8" fillId="5" borderId="1" xfId="0" applyNumberFormat="1" applyFont="1" applyFill="1" applyBorder="1" applyAlignment="1">
      <alignment horizontal="right" vertical="center"/>
    </xf>
    <xf numFmtId="164" fontId="5" fillId="4" borderId="1" xfId="0" applyNumberFormat="1" applyFont="1" applyFill="1" applyBorder="1" applyAlignment="1">
      <alignment horizontal="right" vertical="center"/>
    </xf>
    <xf numFmtId="0" fontId="8" fillId="0" borderId="1" xfId="0" applyFont="1" applyBorder="1" applyAlignment="1">
      <alignment horizontal="right" vertical="center"/>
    </xf>
    <xf numFmtId="2" fontId="9" fillId="0" borderId="1" xfId="0" applyNumberFormat="1" applyFont="1" applyBorder="1" applyAlignment="1">
      <alignment horizontal="right" vertical="center"/>
    </xf>
    <xf numFmtId="165" fontId="4" fillId="0" borderId="1" xfId="0" applyNumberFormat="1" applyFont="1" applyBorder="1" applyAlignment="1">
      <alignment horizontal="right" vertical="center"/>
    </xf>
    <xf numFmtId="166" fontId="5" fillId="4" borderId="1" xfId="0" applyNumberFormat="1" applyFont="1" applyFill="1" applyBorder="1" applyAlignment="1">
      <alignment horizontal="right" vertical="center"/>
    </xf>
    <xf numFmtId="0" fontId="4" fillId="0" borderId="1" xfId="0" applyFont="1" applyBorder="1" applyAlignment="1">
      <alignment horizontal="right" vertical="center"/>
    </xf>
    <xf numFmtId="164" fontId="4" fillId="0" borderId="1" xfId="0" applyNumberFormat="1" applyFont="1" applyBorder="1" applyAlignment="1">
      <alignment horizontal="right" vertical="center"/>
    </xf>
    <xf numFmtId="167" fontId="4" fillId="0" borderId="1" xfId="0" applyNumberFormat="1" applyFont="1" applyBorder="1" applyAlignment="1">
      <alignment horizontal="right" vertical="center"/>
    </xf>
    <xf numFmtId="1" fontId="8" fillId="5" borderId="1" xfId="0" applyNumberFormat="1" applyFont="1" applyFill="1" applyBorder="1" applyAlignment="1">
      <alignment horizontal="right" vertical="center"/>
    </xf>
    <xf numFmtId="0" fontId="8" fillId="5" borderId="1" xfId="0" applyFont="1" applyFill="1" applyBorder="1" applyAlignment="1">
      <alignment horizontal="center" vertical="center" wrapText="1"/>
    </xf>
    <xf numFmtId="0" fontId="4" fillId="0" borderId="1" xfId="0" applyFont="1" applyBorder="1" applyAlignment="1">
      <alignment horizontal="left" vertical="center" wrapText="1"/>
    </xf>
    <xf numFmtId="2" fontId="9" fillId="0" borderId="1" xfId="0" applyNumberFormat="1" applyFont="1" applyBorder="1" applyAlignment="1">
      <alignment horizontal="center" vertical="center" wrapText="1"/>
    </xf>
    <xf numFmtId="2" fontId="5" fillId="4" borderId="1" xfId="0" applyNumberFormat="1" applyFont="1" applyFill="1" applyBorder="1" applyAlignment="1">
      <alignment horizontal="center" vertical="center" wrapText="1"/>
    </xf>
    <xf numFmtId="167" fontId="9" fillId="0" borderId="1" xfId="0" applyNumberFormat="1" applyFont="1" applyBorder="1" applyAlignment="1">
      <alignment horizontal="center" vertical="center" wrapText="1"/>
    </xf>
    <xf numFmtId="1" fontId="9" fillId="5" borderId="1" xfId="0" applyNumberFormat="1" applyFont="1" applyFill="1" applyBorder="1" applyAlignment="1">
      <alignment horizontal="center" vertical="center" wrapText="1"/>
    </xf>
    <xf numFmtId="167" fontId="4" fillId="0" borderId="1" xfId="0" applyNumberFormat="1" applyFont="1" applyBorder="1" applyAlignment="1">
      <alignment horizontal="center" vertical="center" wrapText="1"/>
    </xf>
    <xf numFmtId="1" fontId="4" fillId="5"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Alignment="1">
      <alignment horizontal="center" vertical="center" wrapText="1"/>
    </xf>
    <xf numFmtId="0" fontId="10" fillId="0" borderId="0" xfId="0" applyFont="1"/>
    <xf numFmtId="0" fontId="10" fillId="0" borderId="0" xfId="0" applyFont="1" applyAlignment="1">
      <alignment horizontal="center" vertical="center" wrapText="1"/>
    </xf>
    <xf numFmtId="0" fontId="7" fillId="0" borderId="0" xfId="0" applyFont="1"/>
    <xf numFmtId="0" fontId="13" fillId="0" borderId="0" xfId="0" applyFont="1"/>
    <xf numFmtId="0" fontId="8" fillId="5" borderId="0" xfId="0" applyFont="1" applyFill="1"/>
    <xf numFmtId="0" fontId="10" fillId="0" borderId="0" xfId="0" applyFont="1" applyAlignment="1">
      <alignment vertical="top" wrapText="1"/>
    </xf>
    <xf numFmtId="0" fontId="5" fillId="4"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BFBFBF"/>
      <rgbColor rgb="FF7F7F7F"/>
      <rgbColor rgb="FF9999FF"/>
      <rgbColor rgb="FF993366"/>
      <rgbColor rgb="FFFFF2CC"/>
      <rgbColor rgb="FFF2F2F2"/>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pageSetUpPr fitToPage="1"/>
  </sheetPr>
  <dimension ref="B1:H103"/>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H15" sqref="H15"/>
    </sheetView>
  </sheetViews>
  <sheetFormatPr defaultColWidth="8.7109375" defaultRowHeight="15" x14ac:dyDescent="0.25"/>
  <cols>
    <col min="1" max="1" width="2" customWidth="1"/>
    <col min="2" max="2" width="38" customWidth="1"/>
    <col min="3" max="3" width="43.42578125" customWidth="1"/>
    <col min="4" max="4" width="13" customWidth="1"/>
    <col min="5" max="5" width="55.140625" customWidth="1"/>
    <col min="6" max="6" width="14" customWidth="1"/>
    <col min="7" max="7" width="16" customWidth="1"/>
    <col min="8" max="8" width="18" customWidth="1"/>
  </cols>
  <sheetData>
    <row r="1" spans="2:5" ht="25.5" customHeight="1" x14ac:dyDescent="0.25">
      <c r="B1" s="8" t="s">
        <v>0</v>
      </c>
      <c r="C1" s="8"/>
      <c r="D1" s="8"/>
      <c r="E1" s="8"/>
    </row>
    <row r="2" spans="2:5" ht="15.75" customHeight="1" x14ac:dyDescent="0.25">
      <c r="B2" s="7" t="s">
        <v>1</v>
      </c>
      <c r="C2" s="7"/>
      <c r="D2" s="7"/>
      <c r="E2" s="7"/>
    </row>
    <row r="4" spans="2:5" ht="19.5" customHeight="1" x14ac:dyDescent="0.25">
      <c r="B4" s="6" t="s">
        <v>2</v>
      </c>
      <c r="C4" s="6"/>
      <c r="D4" s="6"/>
      <c r="E4" s="6"/>
    </row>
    <row r="5" spans="2:5" x14ac:dyDescent="0.25">
      <c r="B5" s="10" t="s">
        <v>3</v>
      </c>
      <c r="C5" s="45" t="s">
        <v>4</v>
      </c>
      <c r="D5" s="12"/>
      <c r="E5" s="13"/>
    </row>
    <row r="6" spans="2:5" x14ac:dyDescent="0.25">
      <c r="B6" s="10" t="s">
        <v>5</v>
      </c>
      <c r="C6" s="45" t="s">
        <v>6</v>
      </c>
      <c r="D6" s="12"/>
      <c r="E6" s="13"/>
    </row>
    <row r="7" spans="2:5" x14ac:dyDescent="0.25">
      <c r="B7" s="10" t="s">
        <v>7</v>
      </c>
      <c r="C7" s="45" t="s">
        <v>8</v>
      </c>
      <c r="D7" s="12"/>
      <c r="E7" s="13"/>
    </row>
    <row r="8" spans="2:5" x14ac:dyDescent="0.25">
      <c r="B8" s="10" t="s">
        <v>9</v>
      </c>
      <c r="C8" s="45" t="s">
        <v>10</v>
      </c>
      <c r="D8" s="12"/>
      <c r="E8" s="13"/>
    </row>
    <row r="10" spans="2:5" ht="19.5" customHeight="1" x14ac:dyDescent="0.25">
      <c r="B10" s="6" t="s">
        <v>11</v>
      </c>
      <c r="C10" s="6"/>
      <c r="D10" s="6"/>
      <c r="E10" s="6"/>
    </row>
    <row r="11" spans="2:5" x14ac:dyDescent="0.25">
      <c r="B11" s="10" t="s">
        <v>12</v>
      </c>
      <c r="C11" s="11" t="s">
        <v>13</v>
      </c>
      <c r="D11" s="12"/>
      <c r="E11" s="13" t="s">
        <v>14</v>
      </c>
    </row>
    <row r="12" spans="2:5" x14ac:dyDescent="0.25">
      <c r="B12" s="10" t="s">
        <v>15</v>
      </c>
      <c r="C12" s="11" t="s">
        <v>16</v>
      </c>
      <c r="D12" s="12"/>
      <c r="E12" s="13" t="s">
        <v>17</v>
      </c>
    </row>
    <row r="13" spans="2:5" x14ac:dyDescent="0.25">
      <c r="B13" s="10" t="s">
        <v>18</v>
      </c>
      <c r="C13" s="14">
        <v>20</v>
      </c>
      <c r="D13" s="12" t="s">
        <v>19</v>
      </c>
      <c r="E13" s="13" t="s">
        <v>20</v>
      </c>
    </row>
    <row r="14" spans="2:5" x14ac:dyDescent="0.25">
      <c r="B14" s="10" t="s">
        <v>21</v>
      </c>
      <c r="C14" s="15">
        <v>3.2</v>
      </c>
      <c r="D14" s="12" t="s">
        <v>22</v>
      </c>
      <c r="E14" s="13"/>
    </row>
    <row r="15" spans="2:5" x14ac:dyDescent="0.25">
      <c r="B15" s="10" t="s">
        <v>23</v>
      </c>
      <c r="C15" s="16">
        <f>C13*C14</f>
        <v>64</v>
      </c>
      <c r="D15" s="12" t="s">
        <v>22</v>
      </c>
      <c r="E15" s="13" t="s">
        <v>24</v>
      </c>
    </row>
    <row r="16" spans="2:5" x14ac:dyDescent="0.25">
      <c r="B16" s="10" t="s">
        <v>25</v>
      </c>
      <c r="C16" s="14">
        <v>4</v>
      </c>
      <c r="D16" s="12" t="s">
        <v>26</v>
      </c>
      <c r="E16" s="13"/>
    </row>
    <row r="17" spans="2:5" x14ac:dyDescent="0.25">
      <c r="B17" s="10" t="s">
        <v>27</v>
      </c>
      <c r="C17" s="11" t="s">
        <v>28</v>
      </c>
      <c r="D17" s="12"/>
      <c r="E17" s="13"/>
    </row>
    <row r="18" spans="2:5" x14ac:dyDescent="0.25">
      <c r="B18" s="10" t="s">
        <v>29</v>
      </c>
      <c r="C18" s="14">
        <v>5</v>
      </c>
      <c r="D18" s="12" t="s">
        <v>30</v>
      </c>
      <c r="E18" s="13"/>
    </row>
    <row r="19" spans="2:5" x14ac:dyDescent="0.25">
      <c r="B19" s="10" t="s">
        <v>31</v>
      </c>
      <c r="C19" s="17">
        <f>C13*C16*C18</f>
        <v>400</v>
      </c>
      <c r="D19" s="12" t="s">
        <v>30</v>
      </c>
      <c r="E19" s="13" t="s">
        <v>32</v>
      </c>
    </row>
    <row r="20" spans="2:5" x14ac:dyDescent="0.25">
      <c r="B20" s="10" t="s">
        <v>33</v>
      </c>
      <c r="C20" s="11" t="s">
        <v>34</v>
      </c>
      <c r="D20" s="12"/>
      <c r="E20" s="13"/>
    </row>
    <row r="21" spans="2:5" x14ac:dyDescent="0.25">
      <c r="B21" s="10" t="s">
        <v>35</v>
      </c>
      <c r="C21" s="11" t="s">
        <v>36</v>
      </c>
      <c r="D21" s="12"/>
      <c r="E21" s="13"/>
    </row>
    <row r="22" spans="2:5" x14ac:dyDescent="0.25">
      <c r="B22" s="10" t="s">
        <v>37</v>
      </c>
      <c r="C22" s="11" t="s">
        <v>38</v>
      </c>
      <c r="D22" s="12"/>
      <c r="E22" s="13"/>
    </row>
    <row r="24" spans="2:5" ht="19.5" customHeight="1" x14ac:dyDescent="0.25">
      <c r="B24" s="6" t="s">
        <v>39</v>
      </c>
      <c r="C24" s="6"/>
      <c r="D24" s="6"/>
      <c r="E24" s="6"/>
    </row>
    <row r="25" spans="2:5" x14ac:dyDescent="0.25">
      <c r="B25" s="10" t="s">
        <v>40</v>
      </c>
      <c r="C25" s="14">
        <v>135</v>
      </c>
      <c r="D25" s="12" t="s">
        <v>41</v>
      </c>
      <c r="E25" s="13" t="str">
        <f>"Typical range for "&amp;C11&amp;": see Reference sheet"</f>
        <v>Typical range for Residential: see Reference sheet</v>
      </c>
    </row>
    <row r="26" spans="2:5" x14ac:dyDescent="0.25">
      <c r="B26" s="10" t="s">
        <v>42</v>
      </c>
      <c r="C26" s="18">
        <f>C19*C25</f>
        <v>54000</v>
      </c>
      <c r="D26" s="12" t="s">
        <v>43</v>
      </c>
      <c r="E26" s="13" t="s">
        <v>44</v>
      </c>
    </row>
    <row r="27" spans="2:5" x14ac:dyDescent="0.25">
      <c r="B27" s="10" t="s">
        <v>42</v>
      </c>
      <c r="C27" s="16">
        <f>C26/1000</f>
        <v>54</v>
      </c>
      <c r="D27" s="12" t="s">
        <v>45</v>
      </c>
      <c r="E27" s="13"/>
    </row>
    <row r="28" spans="2:5" x14ac:dyDescent="0.25">
      <c r="B28" s="10" t="s">
        <v>46</v>
      </c>
      <c r="C28" s="15">
        <v>1.8</v>
      </c>
      <c r="D28" s="12" t="s">
        <v>47</v>
      </c>
      <c r="E28" s="13" t="s">
        <v>48</v>
      </c>
    </row>
    <row r="29" spans="2:5" x14ac:dyDescent="0.25">
      <c r="B29" s="10" t="s">
        <v>49</v>
      </c>
      <c r="C29" s="16">
        <f>C27*C28</f>
        <v>97.2</v>
      </c>
      <c r="D29" s="12" t="s">
        <v>45</v>
      </c>
      <c r="E29" s="13" t="s">
        <v>50</v>
      </c>
    </row>
    <row r="30" spans="2:5" x14ac:dyDescent="0.25">
      <c r="B30" s="10" t="s">
        <v>51</v>
      </c>
      <c r="C30" s="15">
        <v>2.7</v>
      </c>
      <c r="D30" s="12" t="s">
        <v>47</v>
      </c>
      <c r="E30" s="13" t="s">
        <v>52</v>
      </c>
    </row>
    <row r="31" spans="2:5" ht="22.5" x14ac:dyDescent="0.25">
      <c r="B31" s="10" t="s">
        <v>53</v>
      </c>
      <c r="C31" s="19">
        <f>(C29/24)*C30</f>
        <v>10.935</v>
      </c>
      <c r="D31" s="12" t="s">
        <v>54</v>
      </c>
      <c r="E31" s="13" t="s">
        <v>55</v>
      </c>
    </row>
    <row r="33" spans="2:5" ht="19.5" customHeight="1" x14ac:dyDescent="0.25">
      <c r="B33" s="6" t="s">
        <v>56</v>
      </c>
      <c r="C33" s="6"/>
      <c r="D33" s="6"/>
      <c r="E33" s="6"/>
    </row>
    <row r="34" spans="2:5" x14ac:dyDescent="0.25">
      <c r="B34" s="10" t="s">
        <v>57</v>
      </c>
      <c r="C34" s="20">
        <v>0.33329999999999999</v>
      </c>
      <c r="D34" s="12" t="s">
        <v>47</v>
      </c>
      <c r="E34" s="13" t="s">
        <v>58</v>
      </c>
    </row>
    <row r="35" spans="2:5" x14ac:dyDescent="0.25">
      <c r="B35" s="10" t="s">
        <v>59</v>
      </c>
      <c r="C35" s="16">
        <f>C27*C34</f>
        <v>17.998200000000001</v>
      </c>
      <c r="D35" s="12" t="s">
        <v>60</v>
      </c>
      <c r="E35" s="13" t="s">
        <v>61</v>
      </c>
    </row>
    <row r="36" spans="2:5" x14ac:dyDescent="0.25">
      <c r="B36" s="10" t="s">
        <v>62</v>
      </c>
      <c r="C36" s="16">
        <f>CEILING(C35,5)</f>
        <v>20</v>
      </c>
      <c r="D36" s="12" t="s">
        <v>60</v>
      </c>
      <c r="E36" s="13" t="s">
        <v>63</v>
      </c>
    </row>
    <row r="37" spans="2:5" x14ac:dyDescent="0.25">
      <c r="B37" s="10" t="s">
        <v>64</v>
      </c>
      <c r="C37" s="15">
        <v>4.5</v>
      </c>
      <c r="D37" s="12" t="s">
        <v>22</v>
      </c>
      <c r="E37" s="13"/>
    </row>
    <row r="38" spans="2:5" x14ac:dyDescent="0.25">
      <c r="B38" s="10" t="s">
        <v>65</v>
      </c>
      <c r="C38" s="15">
        <v>2.5</v>
      </c>
      <c r="D38" s="12" t="s">
        <v>22</v>
      </c>
      <c r="E38" s="13"/>
    </row>
    <row r="39" spans="2:5" x14ac:dyDescent="0.25">
      <c r="B39" s="10" t="s">
        <v>66</v>
      </c>
      <c r="C39" s="15">
        <v>1.8</v>
      </c>
      <c r="D39" s="12" t="s">
        <v>22</v>
      </c>
      <c r="E39" s="13"/>
    </row>
    <row r="40" spans="2:5" x14ac:dyDescent="0.25">
      <c r="B40" s="10" t="s">
        <v>67</v>
      </c>
      <c r="C40" s="16">
        <f>C37*C38*C39</f>
        <v>20.25</v>
      </c>
      <c r="D40" s="12" t="s">
        <v>60</v>
      </c>
      <c r="E40" s="13" t="s">
        <v>68</v>
      </c>
    </row>
    <row r="41" spans="2:5" x14ac:dyDescent="0.25">
      <c r="B41" s="10" t="s">
        <v>69</v>
      </c>
      <c r="C41" s="21" t="str">
        <f>IF(C40&gt;=C36,"OK - Adequate","INCREASE TANK SIZE")</f>
        <v>OK - Adequate</v>
      </c>
      <c r="D41" s="12"/>
      <c r="E41" s="13"/>
    </row>
    <row r="43" spans="2:5" ht="19.5" customHeight="1" x14ac:dyDescent="0.25">
      <c r="B43" s="6" t="s">
        <v>70</v>
      </c>
      <c r="C43" s="6"/>
      <c r="D43" s="6"/>
      <c r="E43" s="6"/>
    </row>
    <row r="44" spans="2:5" x14ac:dyDescent="0.25">
      <c r="B44" s="10" t="s">
        <v>71</v>
      </c>
      <c r="C44" s="22">
        <f>C31</f>
        <v>10.935</v>
      </c>
      <c r="D44" s="12" t="s">
        <v>54</v>
      </c>
      <c r="E44" s="13" t="s">
        <v>72</v>
      </c>
    </row>
    <row r="45" spans="2:5" x14ac:dyDescent="0.25">
      <c r="B45" s="10" t="s">
        <v>71</v>
      </c>
      <c r="C45" s="23">
        <f>C44/3600</f>
        <v>3.0375000000000003E-3</v>
      </c>
      <c r="D45" s="12" t="s">
        <v>73</v>
      </c>
      <c r="E45" s="13" t="s">
        <v>74</v>
      </c>
    </row>
    <row r="46" spans="2:5" x14ac:dyDescent="0.25">
      <c r="B46" s="10" t="s">
        <v>75</v>
      </c>
      <c r="C46" s="22">
        <f>C15</f>
        <v>64</v>
      </c>
      <c r="D46" s="12" t="s">
        <v>22</v>
      </c>
      <c r="E46" s="13" t="s">
        <v>76</v>
      </c>
    </row>
    <row r="47" spans="2:5" x14ac:dyDescent="0.25">
      <c r="B47" s="10" t="s">
        <v>77</v>
      </c>
      <c r="C47" s="15">
        <v>12</v>
      </c>
      <c r="D47" s="12" t="s">
        <v>22</v>
      </c>
      <c r="E47" s="13" t="s">
        <v>78</v>
      </c>
    </row>
    <row r="48" spans="2:5" x14ac:dyDescent="0.25">
      <c r="B48" s="10" t="s">
        <v>79</v>
      </c>
      <c r="C48" s="15">
        <v>10</v>
      </c>
      <c r="D48" s="12" t="s">
        <v>22</v>
      </c>
      <c r="E48" s="13" t="s">
        <v>80</v>
      </c>
    </row>
    <row r="49" spans="2:5" x14ac:dyDescent="0.25">
      <c r="B49" s="10" t="s">
        <v>81</v>
      </c>
      <c r="C49" s="16">
        <f>C46+C47+C48</f>
        <v>86</v>
      </c>
      <c r="D49" s="12" t="s">
        <v>22</v>
      </c>
      <c r="E49" s="13" t="s">
        <v>82</v>
      </c>
    </row>
    <row r="50" spans="2:5" x14ac:dyDescent="0.25">
      <c r="B50" s="10" t="s">
        <v>83</v>
      </c>
      <c r="C50" s="14">
        <v>1000</v>
      </c>
      <c r="D50" s="12" t="s">
        <v>84</v>
      </c>
      <c r="E50" s="13"/>
    </row>
    <row r="51" spans="2:5" x14ac:dyDescent="0.25">
      <c r="B51" s="10" t="s">
        <v>85</v>
      </c>
      <c r="C51" s="24">
        <v>0.65</v>
      </c>
      <c r="D51" s="12" t="s">
        <v>47</v>
      </c>
      <c r="E51" s="13" t="s">
        <v>86</v>
      </c>
    </row>
    <row r="52" spans="2:5" x14ac:dyDescent="0.25">
      <c r="B52" s="10" t="s">
        <v>87</v>
      </c>
      <c r="C52" s="16">
        <f>(C50*9.81*C45*C49)/(C51*1000)</f>
        <v>3.9424880769230772</v>
      </c>
      <c r="D52" s="12" t="s">
        <v>88</v>
      </c>
      <c r="E52" s="13" t="s">
        <v>89</v>
      </c>
    </row>
    <row r="53" spans="2:5" x14ac:dyDescent="0.25">
      <c r="B53" s="10" t="s">
        <v>90</v>
      </c>
      <c r="C53" s="16">
        <f>C52/0.7457</f>
        <v>5.2869626886456711</v>
      </c>
      <c r="D53" s="12" t="s">
        <v>91</v>
      </c>
      <c r="E53" s="13" t="s">
        <v>92</v>
      </c>
    </row>
    <row r="54" spans="2:5" x14ac:dyDescent="0.25">
      <c r="B54" s="10" t="s">
        <v>93</v>
      </c>
      <c r="C54" s="14">
        <v>1</v>
      </c>
      <c r="D54" s="12" t="s">
        <v>26</v>
      </c>
      <c r="E54" s="13"/>
    </row>
    <row r="55" spans="2:5" x14ac:dyDescent="0.25">
      <c r="B55" s="10" t="s">
        <v>94</v>
      </c>
      <c r="C55" s="14">
        <v>1</v>
      </c>
      <c r="D55" s="12" t="s">
        <v>26</v>
      </c>
      <c r="E55" s="13"/>
    </row>
    <row r="56" spans="2:5" x14ac:dyDescent="0.25">
      <c r="B56" s="10" t="s">
        <v>95</v>
      </c>
      <c r="C56" s="25" t="str">
        <f>C54&amp;"W + "&amp;C55&amp;"S"</f>
        <v>1W + 1S</v>
      </c>
      <c r="D56" s="12"/>
      <c r="E56" s="13"/>
    </row>
    <row r="57" spans="2:5" ht="25.5" x14ac:dyDescent="0.25">
      <c r="B57" s="10" t="s">
        <v>96</v>
      </c>
      <c r="C57" s="19">
        <f>INDEX('Std Sizes &amp; Reference'!$E$5:$E$23,SUMPRODUCT(--('Std Sizes &amp; Reference'!$E$5:$E$23&lt;C53))+1)</f>
        <v>5.5</v>
      </c>
      <c r="D57" s="12" t="s">
        <v>91</v>
      </c>
      <c r="E57" s="13" t="s">
        <v>97</v>
      </c>
    </row>
    <row r="58" spans="2:5" ht="25.5" x14ac:dyDescent="0.25">
      <c r="B58" s="10" t="s">
        <v>96</v>
      </c>
      <c r="C58" s="16">
        <f>C57*0.7457</f>
        <v>4.1013500000000001</v>
      </c>
      <c r="D58" s="12" t="s">
        <v>88</v>
      </c>
      <c r="E58" s="13"/>
    </row>
    <row r="60" spans="2:5" ht="19.5" customHeight="1" x14ac:dyDescent="0.25">
      <c r="B60" s="6" t="s">
        <v>98</v>
      </c>
      <c r="C60" s="6"/>
      <c r="D60" s="6"/>
      <c r="E60" s="6"/>
    </row>
    <row r="61" spans="2:5" x14ac:dyDescent="0.25">
      <c r="B61" s="10" t="s">
        <v>71</v>
      </c>
      <c r="C61" s="22">
        <f>C31</f>
        <v>10.935</v>
      </c>
      <c r="D61" s="12" t="s">
        <v>54</v>
      </c>
      <c r="E61" s="13" t="s">
        <v>72</v>
      </c>
    </row>
    <row r="62" spans="2:5" x14ac:dyDescent="0.25">
      <c r="B62" s="10" t="s">
        <v>71</v>
      </c>
      <c r="C62" s="23">
        <f>C61/3600</f>
        <v>3.0375000000000003E-3</v>
      </c>
      <c r="D62" s="12" t="s">
        <v>73</v>
      </c>
      <c r="E62" s="13"/>
    </row>
    <row r="63" spans="2:5" x14ac:dyDescent="0.25">
      <c r="B63" s="10" t="s">
        <v>99</v>
      </c>
      <c r="C63" s="15">
        <v>1.5</v>
      </c>
      <c r="D63" s="12" t="s">
        <v>100</v>
      </c>
      <c r="E63" s="13" t="s">
        <v>101</v>
      </c>
    </row>
    <row r="64" spans="2:5" x14ac:dyDescent="0.25">
      <c r="B64" s="10" t="s">
        <v>102</v>
      </c>
      <c r="C64" s="26">
        <f>SQRT(4*C62/(PI()*C63))</f>
        <v>5.0777062519298068E-2</v>
      </c>
      <c r="D64" s="12" t="s">
        <v>22</v>
      </c>
      <c r="E64" s="13" t="s">
        <v>103</v>
      </c>
    </row>
    <row r="65" spans="2:8" x14ac:dyDescent="0.25">
      <c r="B65" s="10" t="s">
        <v>102</v>
      </c>
      <c r="C65" s="27">
        <f>C64*1000</f>
        <v>50.77706251929807</v>
      </c>
      <c r="D65" s="12" t="s">
        <v>104</v>
      </c>
      <c r="E65" s="13"/>
    </row>
    <row r="66" spans="2:8" x14ac:dyDescent="0.25">
      <c r="B66" s="10" t="s">
        <v>105</v>
      </c>
      <c r="C66" s="28">
        <f>INDEX('Std Sizes &amp; Reference'!$B$5:$B$18,SUMPRODUCT(--('Std Sizes &amp; Reference'!$B$5:$B$18&lt;C65))+1)</f>
        <v>65</v>
      </c>
      <c r="D66" s="12" t="s">
        <v>104</v>
      </c>
      <c r="E66" s="13" t="s">
        <v>106</v>
      </c>
    </row>
    <row r="68" spans="2:8" ht="19.5" customHeight="1" x14ac:dyDescent="0.25">
      <c r="B68" s="6" t="s">
        <v>107</v>
      </c>
      <c r="C68" s="6"/>
      <c r="D68" s="6"/>
      <c r="E68" s="6"/>
    </row>
    <row r="69" spans="2:8" x14ac:dyDescent="0.25">
      <c r="B69" s="10" t="s">
        <v>108</v>
      </c>
      <c r="C69" s="16">
        <f>C50*9.81*C15/100000</f>
        <v>6.2784000000000004</v>
      </c>
      <c r="D69" s="12" t="s">
        <v>109</v>
      </c>
      <c r="E69" s="13" t="s">
        <v>110</v>
      </c>
    </row>
    <row r="70" spans="2:8" x14ac:dyDescent="0.25">
      <c r="B70" s="10" t="s">
        <v>111</v>
      </c>
      <c r="C70" s="16">
        <f>C50*9.81*C47/100000</f>
        <v>1.1772</v>
      </c>
      <c r="D70" s="12" t="s">
        <v>109</v>
      </c>
      <c r="E70" s="13" t="s">
        <v>112</v>
      </c>
    </row>
    <row r="71" spans="2:8" x14ac:dyDescent="0.25">
      <c r="B71" s="10" t="s">
        <v>113</v>
      </c>
      <c r="C71" s="16">
        <f>C69-C70</f>
        <v>5.1012000000000004</v>
      </c>
      <c r="D71" s="12" t="s">
        <v>109</v>
      </c>
      <c r="E71" s="13" t="s">
        <v>114</v>
      </c>
    </row>
    <row r="72" spans="2:8" x14ac:dyDescent="0.25">
      <c r="B72" s="10" t="s">
        <v>115</v>
      </c>
      <c r="C72" s="16">
        <f>C50*9.81*C48/100000</f>
        <v>0.98099999999999998</v>
      </c>
      <c r="D72" s="12" t="s">
        <v>109</v>
      </c>
      <c r="E72" s="13" t="s">
        <v>116</v>
      </c>
    </row>
    <row r="73" spans="2:8" x14ac:dyDescent="0.25">
      <c r="B73" s="10" t="s">
        <v>117</v>
      </c>
      <c r="C73" s="21" t="str">
        <f>IF(C71&gt;=C72,"OK - Adequate","NOT ADEQUATE - revise design")</f>
        <v>OK - Adequate</v>
      </c>
      <c r="D73" s="12"/>
      <c r="E73" s="13"/>
    </row>
    <row r="74" spans="2:8" x14ac:dyDescent="0.25">
      <c r="B74" s="13" t="s">
        <v>118</v>
      </c>
      <c r="C74" s="25" t="s">
        <v>119</v>
      </c>
      <c r="D74" s="12"/>
      <c r="E74" s="13"/>
    </row>
    <row r="76" spans="2:8" ht="19.5" customHeight="1" x14ac:dyDescent="0.25">
      <c r="B76" s="6" t="s">
        <v>120</v>
      </c>
      <c r="C76" s="6"/>
      <c r="D76" s="6"/>
      <c r="E76" s="6"/>
      <c r="F76" s="9"/>
      <c r="G76" s="9"/>
      <c r="H76" s="9"/>
    </row>
    <row r="77" spans="2:8" ht="38.25" x14ac:dyDescent="0.25">
      <c r="B77" s="29" t="s">
        <v>121</v>
      </c>
      <c r="C77" s="29" t="s">
        <v>122</v>
      </c>
      <c r="D77" s="29" t="s">
        <v>123</v>
      </c>
      <c r="E77" s="29" t="s">
        <v>124</v>
      </c>
      <c r="F77" s="29" t="s">
        <v>125</v>
      </c>
      <c r="G77" s="29" t="s">
        <v>126</v>
      </c>
      <c r="H77" s="29" t="s">
        <v>127</v>
      </c>
    </row>
    <row r="78" spans="2:8" x14ac:dyDescent="0.25">
      <c r="B78" s="30" t="s">
        <v>128</v>
      </c>
      <c r="C78" s="31">
        <f>C61</f>
        <v>10.935</v>
      </c>
      <c r="D78" s="31">
        <f>C61</f>
        <v>10.935</v>
      </c>
      <c r="E78" s="32">
        <v>1</v>
      </c>
      <c r="F78" s="32">
        <v>2</v>
      </c>
      <c r="G78" s="33">
        <f>C65</f>
        <v>50.77706251929807</v>
      </c>
      <c r="H78" s="34">
        <f>C66</f>
        <v>65</v>
      </c>
    </row>
    <row r="79" spans="2:8" x14ac:dyDescent="0.25">
      <c r="B79" s="30" t="s">
        <v>129</v>
      </c>
      <c r="C79" s="32">
        <v>1.5</v>
      </c>
      <c r="D79" s="32">
        <v>2</v>
      </c>
      <c r="E79" s="32">
        <v>0.6</v>
      </c>
      <c r="F79" s="32">
        <v>1.5</v>
      </c>
      <c r="G79" s="35">
        <f>SQRT(4*(D79/3600)/(PI()*E79))*1000</f>
        <v>34.335484624283524</v>
      </c>
      <c r="H79" s="36">
        <f>INDEX('Std Sizes &amp; Reference'!$B$5:$B$18,SUMPRODUCT(--('Std Sizes &amp; Reference'!$B$5:$B$18&lt;G79))+1)</f>
        <v>40</v>
      </c>
    </row>
    <row r="80" spans="2:8" x14ac:dyDescent="0.25">
      <c r="B80" s="30" t="s">
        <v>130</v>
      </c>
      <c r="C80" s="32">
        <v>0.25</v>
      </c>
      <c r="D80" s="32">
        <v>0.5</v>
      </c>
      <c r="E80" s="32">
        <v>0.6</v>
      </c>
      <c r="F80" s="32">
        <v>1.5</v>
      </c>
      <c r="G80" s="35">
        <f>SQRT(4*(D80/3600)/(PI()*E80))*1000</f>
        <v>17.167742312141762</v>
      </c>
      <c r="H80" s="36">
        <f>INDEX('Std Sizes &amp; Reference'!$B$5:$B$18,SUMPRODUCT(--('Std Sizes &amp; Reference'!$B$5:$B$18&lt;G80))+1)</f>
        <v>20</v>
      </c>
    </row>
    <row r="81" spans="2:8" x14ac:dyDescent="0.25">
      <c r="B81" s="30" t="s">
        <v>131</v>
      </c>
      <c r="C81" s="32">
        <v>0.1</v>
      </c>
      <c r="D81" s="32">
        <v>0.25</v>
      </c>
      <c r="E81" s="32">
        <v>0.6</v>
      </c>
      <c r="F81" s="32">
        <v>1.5</v>
      </c>
      <c r="G81" s="35">
        <f>SQRT(4*(D81/3600)/(PI()*E81))*1000</f>
        <v>12.139427006578657</v>
      </c>
      <c r="H81" s="36">
        <f>INDEX('Std Sizes &amp; Reference'!$B$5:$B$18,SUMPRODUCT(--('Std Sizes &amp; Reference'!$B$5:$B$18&lt;G81))+1)</f>
        <v>15</v>
      </c>
    </row>
    <row r="82" spans="2:8" x14ac:dyDescent="0.25">
      <c r="B82" s="30" t="s">
        <v>132</v>
      </c>
      <c r="C82" s="32">
        <v>0.1</v>
      </c>
      <c r="D82" s="32">
        <v>0.25</v>
      </c>
      <c r="E82" s="32">
        <v>0.6</v>
      </c>
      <c r="F82" s="32">
        <v>1.5</v>
      </c>
      <c r="G82" s="35">
        <f>SQRT(4*(D82/3600)/(PI()*E82))*1000</f>
        <v>12.139427006578657</v>
      </c>
      <c r="H82" s="36">
        <f>INDEX('Std Sizes &amp; Reference'!$B$5:$B$18,SUMPRODUCT(--('Std Sizes &amp; Reference'!$B$5:$B$18&lt;G82))+1)</f>
        <v>15</v>
      </c>
    </row>
    <row r="83" spans="2:8" x14ac:dyDescent="0.25">
      <c r="B83" s="30" t="s">
        <v>133</v>
      </c>
      <c r="C83" s="32">
        <v>0.1</v>
      </c>
      <c r="D83" s="32">
        <v>0.25</v>
      </c>
      <c r="E83" s="32">
        <v>0.6</v>
      </c>
      <c r="F83" s="32">
        <v>1.5</v>
      </c>
      <c r="G83" s="35">
        <f>SQRT(4*(D83/3600)/(PI()*E83))*1000</f>
        <v>12.139427006578657</v>
      </c>
      <c r="H83" s="36">
        <f>INDEX('Std Sizes &amp; Reference'!$B$5:$B$18,SUMPRODUCT(--('Std Sizes &amp; Reference'!$B$5:$B$18&lt;G83))+1)</f>
        <v>15</v>
      </c>
    </row>
    <row r="84" spans="2:8" ht="15" customHeight="1" x14ac:dyDescent="0.25">
      <c r="B84" s="5" t="s">
        <v>134</v>
      </c>
      <c r="C84" s="5"/>
      <c r="D84" s="5"/>
      <c r="E84" s="5"/>
      <c r="F84" s="5"/>
      <c r="G84" s="5"/>
      <c r="H84" s="5"/>
    </row>
    <row r="86" spans="2:8" ht="19.5" customHeight="1" x14ac:dyDescent="0.25">
      <c r="B86" s="6" t="s">
        <v>135</v>
      </c>
      <c r="C86" s="6"/>
      <c r="D86" s="6"/>
      <c r="E86" s="6"/>
    </row>
    <row r="87" spans="2:8" x14ac:dyDescent="0.25">
      <c r="B87" s="10" t="s">
        <v>136</v>
      </c>
      <c r="C87" s="37" t="str">
        <f>IF(C31&gt;0,"[DONE]","[PENDING]")</f>
        <v>[DONE]</v>
      </c>
    </row>
    <row r="88" spans="2:8" x14ac:dyDescent="0.25">
      <c r="B88" s="10" t="s">
        <v>137</v>
      </c>
      <c r="C88" s="37" t="str">
        <f>IF(C36&gt;0,"[DONE]","[PENDING]")</f>
        <v>[DONE]</v>
      </c>
    </row>
    <row r="89" spans="2:8" x14ac:dyDescent="0.25">
      <c r="B89" s="10" t="s">
        <v>138</v>
      </c>
      <c r="C89" s="37" t="str">
        <f>IF(C41="OK - Adequate","[OK]","[CHECK]")</f>
        <v>[OK]</v>
      </c>
    </row>
    <row r="90" spans="2:8" x14ac:dyDescent="0.25">
      <c r="B90" s="10" t="s">
        <v>139</v>
      </c>
      <c r="C90" s="37" t="str">
        <f>IF(C57&gt;0,"[DONE]","[PENDING]")</f>
        <v>[DONE]</v>
      </c>
    </row>
    <row r="91" spans="2:8" x14ac:dyDescent="0.25">
      <c r="B91" s="10" t="s">
        <v>140</v>
      </c>
      <c r="C91" s="37" t="str">
        <f>IF(C66&gt;0,"[DONE]","[PENDING]")</f>
        <v>[DONE]</v>
      </c>
    </row>
    <row r="92" spans="2:8" x14ac:dyDescent="0.25">
      <c r="B92" s="10" t="s">
        <v>141</v>
      </c>
      <c r="C92" s="37" t="str">
        <f>IF(C73="OK - Adequate","[OK]","[CHECK]")</f>
        <v>[OK]</v>
      </c>
    </row>
    <row r="93" spans="2:8" x14ac:dyDescent="0.25">
      <c r="B93" s="10" t="s">
        <v>142</v>
      </c>
      <c r="C93" s="37" t="s">
        <v>143</v>
      </c>
    </row>
    <row r="94" spans="2:8" ht="25.5" x14ac:dyDescent="0.25">
      <c r="B94" s="10" t="s">
        <v>144</v>
      </c>
      <c r="C94" s="37" t="s">
        <v>145</v>
      </c>
    </row>
    <row r="96" spans="2:8" ht="19.5" customHeight="1" x14ac:dyDescent="0.25">
      <c r="B96" s="6" t="s">
        <v>146</v>
      </c>
      <c r="C96" s="6"/>
      <c r="D96" s="6"/>
      <c r="E96" s="6"/>
    </row>
    <row r="97" spans="2:8" ht="15" customHeight="1" x14ac:dyDescent="0.25">
      <c r="B97" s="4" t="s">
        <v>147</v>
      </c>
      <c r="C97" s="4"/>
      <c r="D97" s="4"/>
      <c r="E97" s="4"/>
      <c r="F97" s="4"/>
      <c r="G97" s="4"/>
      <c r="H97" s="4"/>
    </row>
    <row r="98" spans="2:8" ht="15" customHeight="1" x14ac:dyDescent="0.25">
      <c r="B98" s="4" t="s">
        <v>148</v>
      </c>
      <c r="C98" s="4"/>
      <c r="D98" s="4"/>
      <c r="E98" s="4"/>
      <c r="F98" s="4"/>
      <c r="G98" s="4"/>
      <c r="H98" s="4"/>
    </row>
    <row r="99" spans="2:8" ht="15" customHeight="1" x14ac:dyDescent="0.25">
      <c r="B99" s="4" t="s">
        <v>149</v>
      </c>
      <c r="C99" s="4"/>
      <c r="D99" s="4"/>
      <c r="E99" s="4"/>
      <c r="F99" s="4"/>
      <c r="G99" s="4"/>
      <c r="H99" s="4"/>
    </row>
    <row r="100" spans="2:8" ht="15" customHeight="1" x14ac:dyDescent="0.25">
      <c r="B100" s="4" t="s">
        <v>150</v>
      </c>
      <c r="C100" s="4"/>
      <c r="D100" s="4"/>
      <c r="E100" s="4"/>
      <c r="F100" s="4"/>
      <c r="G100" s="4"/>
      <c r="H100" s="4"/>
    </row>
    <row r="101" spans="2:8" ht="15" customHeight="1" x14ac:dyDescent="0.25">
      <c r="B101" s="4" t="s">
        <v>151</v>
      </c>
      <c r="C101" s="4"/>
      <c r="D101" s="4"/>
      <c r="E101" s="4"/>
      <c r="F101" s="4"/>
      <c r="G101" s="4"/>
      <c r="H101" s="4"/>
    </row>
    <row r="103" spans="2:8" x14ac:dyDescent="0.25">
      <c r="B103" s="3" t="s">
        <v>152</v>
      </c>
      <c r="C103" s="3"/>
      <c r="D103" s="3"/>
      <c r="E103" s="3"/>
      <c r="F103" s="3"/>
      <c r="G103" s="3"/>
      <c r="H103" s="3"/>
    </row>
  </sheetData>
  <mergeCells count="19">
    <mergeCell ref="B99:H99"/>
    <mergeCell ref="B100:H100"/>
    <mergeCell ref="B101:H101"/>
    <mergeCell ref="B103:H103"/>
    <mergeCell ref="B84:H84"/>
    <mergeCell ref="B86:E86"/>
    <mergeCell ref="B96:E96"/>
    <mergeCell ref="B97:H97"/>
    <mergeCell ref="B98:H98"/>
    <mergeCell ref="B33:E33"/>
    <mergeCell ref="B43:E43"/>
    <mergeCell ref="B60:E60"/>
    <mergeCell ref="B68:E68"/>
    <mergeCell ref="B76:E76"/>
    <mergeCell ref="B1:E1"/>
    <mergeCell ref="B2:E2"/>
    <mergeCell ref="B4:E4"/>
    <mergeCell ref="B10:E10"/>
    <mergeCell ref="B24:E24"/>
  </mergeCells>
  <pageMargins left="0.4" right="0.4" top="0.5" bottom="0.5" header="0.511811023622047" footer="0.511811023622047"/>
  <pageSetup fitToHeight="0" orientation="portrait" horizontalDpi="300" verticalDpi="300"/>
  <legacyDrawing r:id="rId1"/>
  <extLst>
    <ext xmlns:x14="http://schemas.microsoft.com/office/spreadsheetml/2009/9/main" uri="{CCE6A557-97BC-4b89-ADB6-D9C93CAAB3DF}">
      <x14:dataValidations xmlns:xm="http://schemas.microsoft.com/office/excel/2006/main" count="1">
        <x14:dataValidation type="list" xr:uid="{00000000-0002-0000-0000-000000000000}">
          <x14:formula1>
            <xm:f>'Std Sizes &amp; Reference'!$E$35:$E$41</xm:f>
          </x14:formula1>
          <x14:formula2>
            <xm:f>0</xm:f>
          </x14:formula2>
          <xm:sqref>C11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pageSetUpPr fitToPage="1"/>
  </sheetPr>
  <dimension ref="B2:J41"/>
  <sheetViews>
    <sheetView showGridLines="0" zoomScaleNormal="100" workbookViewId="0">
      <pane xSplit="1" ySplit="2" topLeftCell="B3" activePane="bottomRight" state="frozen"/>
      <selection pane="topRight" activeCell="B1" sqref="B1"/>
      <selection pane="bottomLeft" activeCell="A3" sqref="A3"/>
      <selection pane="bottomRight"/>
    </sheetView>
  </sheetViews>
  <sheetFormatPr defaultColWidth="8.7109375" defaultRowHeight="15" x14ac:dyDescent="0.25"/>
  <cols>
    <col min="1" max="1" width="2" customWidth="1"/>
    <col min="2" max="2" width="30" customWidth="1"/>
    <col min="3" max="3" width="14" customWidth="1"/>
    <col min="4" max="4" width="4" customWidth="1"/>
    <col min="5" max="5" width="30" customWidth="1"/>
    <col min="6" max="6" width="16" customWidth="1"/>
    <col min="7" max="7" width="26" customWidth="1"/>
    <col min="8" max="8" width="4" customWidth="1"/>
    <col min="9" max="9" width="26" customWidth="1"/>
    <col min="10" max="10" width="18" customWidth="1"/>
    <col min="11" max="11" width="26" customWidth="1"/>
  </cols>
  <sheetData>
    <row r="2" spans="2:10" ht="18" x14ac:dyDescent="0.25">
      <c r="B2" s="2" t="s">
        <v>153</v>
      </c>
      <c r="C2" s="2"/>
      <c r="D2" s="2"/>
      <c r="E2" s="2"/>
      <c r="F2" s="2"/>
      <c r="G2" s="2"/>
      <c r="H2" s="2"/>
      <c r="I2" s="2"/>
      <c r="J2" s="2"/>
    </row>
    <row r="4" spans="2:10" x14ac:dyDescent="0.25">
      <c r="B4" s="1" t="s">
        <v>154</v>
      </c>
      <c r="C4" s="1"/>
      <c r="E4" s="1" t="s">
        <v>155</v>
      </c>
      <c r="F4" s="1"/>
      <c r="H4" s="1" t="s">
        <v>156</v>
      </c>
      <c r="I4" s="1"/>
      <c r="J4" s="1"/>
    </row>
    <row r="5" spans="2:10" x14ac:dyDescent="0.25">
      <c r="B5" s="38">
        <v>15</v>
      </c>
      <c r="E5" s="38">
        <v>0.5</v>
      </c>
      <c r="H5" s="39" t="s">
        <v>157</v>
      </c>
      <c r="I5" s="40" t="s">
        <v>158</v>
      </c>
      <c r="J5" s="41" t="s">
        <v>41</v>
      </c>
    </row>
    <row r="6" spans="2:10" x14ac:dyDescent="0.25">
      <c r="B6" s="38">
        <v>20</v>
      </c>
      <c r="E6" s="38">
        <v>1</v>
      </c>
      <c r="H6" s="39" t="s">
        <v>159</v>
      </c>
      <c r="I6" s="40" t="s">
        <v>160</v>
      </c>
      <c r="J6" s="41" t="s">
        <v>41</v>
      </c>
    </row>
    <row r="7" spans="2:10" x14ac:dyDescent="0.25">
      <c r="B7" s="38">
        <v>25</v>
      </c>
      <c r="E7" s="38">
        <v>1.5</v>
      </c>
      <c r="H7" s="39" t="s">
        <v>161</v>
      </c>
      <c r="I7" s="40" t="s">
        <v>162</v>
      </c>
      <c r="J7" s="41" t="s">
        <v>163</v>
      </c>
    </row>
    <row r="8" spans="2:10" x14ac:dyDescent="0.25">
      <c r="B8" s="38">
        <v>32</v>
      </c>
      <c r="E8" s="38">
        <v>2</v>
      </c>
      <c r="H8" s="39" t="s">
        <v>164</v>
      </c>
      <c r="I8" s="40" t="s">
        <v>165</v>
      </c>
      <c r="J8" s="41" t="s">
        <v>163</v>
      </c>
    </row>
    <row r="9" spans="2:10" x14ac:dyDescent="0.25">
      <c r="B9" s="38">
        <v>40</v>
      </c>
      <c r="E9" s="38">
        <v>3</v>
      </c>
      <c r="H9" s="39" t="s">
        <v>166</v>
      </c>
      <c r="I9" s="40" t="s">
        <v>167</v>
      </c>
      <c r="J9" s="41" t="s">
        <v>41</v>
      </c>
    </row>
    <row r="10" spans="2:10" x14ac:dyDescent="0.25">
      <c r="B10" s="38">
        <v>50</v>
      </c>
      <c r="E10" s="38">
        <v>5</v>
      </c>
      <c r="H10" s="39" t="s">
        <v>168</v>
      </c>
      <c r="I10" s="40" t="s">
        <v>167</v>
      </c>
      <c r="J10" s="41" t="s">
        <v>41</v>
      </c>
    </row>
    <row r="11" spans="2:10" x14ac:dyDescent="0.25">
      <c r="B11" s="38">
        <v>65</v>
      </c>
      <c r="E11" s="38">
        <v>5.5</v>
      </c>
      <c r="H11" s="39" t="s">
        <v>169</v>
      </c>
      <c r="I11" s="40" t="s">
        <v>170</v>
      </c>
      <c r="J11" s="41" t="s">
        <v>171</v>
      </c>
    </row>
    <row r="12" spans="2:10" x14ac:dyDescent="0.25">
      <c r="B12" s="38">
        <v>80</v>
      </c>
      <c r="E12" s="38">
        <v>7.5</v>
      </c>
    </row>
    <row r="13" spans="2:10" x14ac:dyDescent="0.25">
      <c r="B13" s="38">
        <v>100</v>
      </c>
      <c r="E13" s="38">
        <v>10</v>
      </c>
      <c r="H13" s="41" t="s">
        <v>172</v>
      </c>
    </row>
    <row r="14" spans="2:10" x14ac:dyDescent="0.25">
      <c r="B14" s="38">
        <v>125</v>
      </c>
      <c r="E14" s="38">
        <v>12.5</v>
      </c>
    </row>
    <row r="15" spans="2:10" x14ac:dyDescent="0.25">
      <c r="B15" s="38">
        <v>150</v>
      </c>
      <c r="E15" s="38">
        <v>15</v>
      </c>
    </row>
    <row r="16" spans="2:10" x14ac:dyDescent="0.25">
      <c r="B16" s="38">
        <v>200</v>
      </c>
      <c r="E16" s="38">
        <v>20</v>
      </c>
    </row>
    <row r="17" spans="2:6" x14ac:dyDescent="0.25">
      <c r="B17" s="38">
        <v>250</v>
      </c>
      <c r="E17" s="38">
        <v>25</v>
      </c>
    </row>
    <row r="18" spans="2:6" x14ac:dyDescent="0.25">
      <c r="B18" s="38">
        <v>300</v>
      </c>
      <c r="E18" s="38">
        <v>30</v>
      </c>
    </row>
    <row r="19" spans="2:6" x14ac:dyDescent="0.25">
      <c r="E19" s="38">
        <v>40</v>
      </c>
    </row>
    <row r="20" spans="2:6" x14ac:dyDescent="0.25">
      <c r="B20" s="41" t="s">
        <v>173</v>
      </c>
      <c r="E20" s="38">
        <v>50</v>
      </c>
    </row>
    <row r="21" spans="2:6" x14ac:dyDescent="0.25">
      <c r="E21" s="38">
        <v>60</v>
      </c>
    </row>
    <row r="22" spans="2:6" x14ac:dyDescent="0.25">
      <c r="E22" s="38">
        <v>75</v>
      </c>
    </row>
    <row r="23" spans="2:6" x14ac:dyDescent="0.25">
      <c r="E23" s="38">
        <v>100</v>
      </c>
    </row>
    <row r="25" spans="2:6" x14ac:dyDescent="0.25">
      <c r="E25" s="41" t="s">
        <v>174</v>
      </c>
    </row>
    <row r="28" spans="2:6" x14ac:dyDescent="0.25">
      <c r="E28" s="1" t="s">
        <v>175</v>
      </c>
      <c r="F28" s="1"/>
    </row>
    <row r="29" spans="2:6" x14ac:dyDescent="0.25">
      <c r="E29" s="39" t="s">
        <v>176</v>
      </c>
      <c r="F29" s="39" t="s">
        <v>177</v>
      </c>
    </row>
    <row r="30" spans="2:6" x14ac:dyDescent="0.25">
      <c r="E30" s="39" t="s">
        <v>178</v>
      </c>
      <c r="F30" s="39" t="s">
        <v>179</v>
      </c>
    </row>
    <row r="31" spans="2:6" x14ac:dyDescent="0.25">
      <c r="E31" s="39" t="s">
        <v>178</v>
      </c>
      <c r="F31" s="39" t="s">
        <v>180</v>
      </c>
    </row>
    <row r="34" spans="5:6" x14ac:dyDescent="0.25">
      <c r="E34" s="1" t="s">
        <v>181</v>
      </c>
      <c r="F34" s="1"/>
    </row>
    <row r="35" spans="5:6" x14ac:dyDescent="0.25">
      <c r="E35" s="39" t="s">
        <v>13</v>
      </c>
    </row>
    <row r="36" spans="5:6" x14ac:dyDescent="0.25">
      <c r="E36" s="39" t="s">
        <v>182</v>
      </c>
    </row>
    <row r="37" spans="5:6" x14ac:dyDescent="0.25">
      <c r="E37" s="39" t="s">
        <v>183</v>
      </c>
    </row>
    <row r="38" spans="5:6" x14ac:dyDescent="0.25">
      <c r="E38" s="39" t="s">
        <v>184</v>
      </c>
    </row>
    <row r="39" spans="5:6" x14ac:dyDescent="0.25">
      <c r="E39" s="39" t="s">
        <v>185</v>
      </c>
    </row>
    <row r="40" spans="5:6" x14ac:dyDescent="0.25">
      <c r="E40" s="39" t="s">
        <v>186</v>
      </c>
    </row>
    <row r="41" spans="5:6" x14ac:dyDescent="0.25">
      <c r="E41" s="39" t="s">
        <v>187</v>
      </c>
    </row>
  </sheetData>
  <mergeCells count="6">
    <mergeCell ref="E34:F34"/>
    <mergeCell ref="B2:J2"/>
    <mergeCell ref="B4:C4"/>
    <mergeCell ref="E4:F4"/>
    <mergeCell ref="H4:J4"/>
    <mergeCell ref="E28:F28"/>
  </mergeCells>
  <pageMargins left="0.4" right="0.4" top="0.5" bottom="0.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6A6A6"/>
    <pageSetUpPr fitToPage="1"/>
  </sheetPr>
  <dimension ref="B1:B30"/>
  <sheetViews>
    <sheetView showGridLines="0" zoomScaleNormal="100" workbookViewId="0">
      <pane xSplit="1" ySplit="1" topLeftCell="B2" activePane="bottomRight" state="frozen"/>
      <selection pane="topRight" activeCell="B1" sqref="B1"/>
      <selection pane="bottomLeft" activeCell="A2" sqref="A2"/>
      <selection pane="bottomRight" activeCell="F12" sqref="F12"/>
    </sheetView>
  </sheetViews>
  <sheetFormatPr defaultColWidth="8.7109375" defaultRowHeight="15" x14ac:dyDescent="0.25"/>
  <cols>
    <col min="1" max="1" width="2" customWidth="1"/>
    <col min="2" max="2" width="138.28515625" customWidth="1"/>
  </cols>
  <sheetData>
    <row r="1" spans="2:2" ht="18" x14ac:dyDescent="0.25">
      <c r="B1" s="42" t="s">
        <v>188</v>
      </c>
    </row>
    <row r="3" spans="2:2" x14ac:dyDescent="0.25">
      <c r="B3" s="43" t="s">
        <v>189</v>
      </c>
    </row>
    <row r="4" spans="2:2" x14ac:dyDescent="0.25">
      <c r="B4" s="39" t="s">
        <v>190</v>
      </c>
    </row>
    <row r="5" spans="2:2" x14ac:dyDescent="0.25">
      <c r="B5" s="39" t="s">
        <v>191</v>
      </c>
    </row>
    <row r="6" spans="2:2" x14ac:dyDescent="0.25">
      <c r="B6" s="39" t="s">
        <v>192</v>
      </c>
    </row>
    <row r="7" spans="2:2" x14ac:dyDescent="0.25">
      <c r="B7" s="39" t="s">
        <v>193</v>
      </c>
    </row>
    <row r="9" spans="2:2" x14ac:dyDescent="0.25">
      <c r="B9" s="43" t="s">
        <v>194</v>
      </c>
    </row>
    <row r="10" spans="2:2" x14ac:dyDescent="0.25">
      <c r="B10" s="39" t="s">
        <v>195</v>
      </c>
    </row>
    <row r="11" spans="2:2" x14ac:dyDescent="0.25">
      <c r="B11" s="39" t="s">
        <v>196</v>
      </c>
    </row>
    <row r="12" spans="2:2" x14ac:dyDescent="0.25">
      <c r="B12" s="39" t="s">
        <v>197</v>
      </c>
    </row>
    <row r="13" spans="2:2" x14ac:dyDescent="0.25">
      <c r="B13" s="39" t="s">
        <v>198</v>
      </c>
    </row>
    <row r="14" spans="2:2" x14ac:dyDescent="0.25">
      <c r="B14" s="39" t="s">
        <v>199</v>
      </c>
    </row>
    <row r="16" spans="2:2" x14ac:dyDescent="0.25">
      <c r="B16" s="43" t="s">
        <v>200</v>
      </c>
    </row>
    <row r="17" spans="2:2" ht="30" customHeight="1" x14ac:dyDescent="0.25">
      <c r="B17" s="44" t="s">
        <v>201</v>
      </c>
    </row>
    <row r="18" spans="2:2" ht="30" customHeight="1" x14ac:dyDescent="0.25">
      <c r="B18" s="44" t="s">
        <v>202</v>
      </c>
    </row>
    <row r="19" spans="2:2" ht="30" customHeight="1" x14ac:dyDescent="0.25">
      <c r="B19" s="44" t="s">
        <v>203</v>
      </c>
    </row>
    <row r="20" spans="2:2" ht="30" customHeight="1" x14ac:dyDescent="0.25">
      <c r="B20" s="44" t="s">
        <v>204</v>
      </c>
    </row>
    <row r="21" spans="2:2" ht="30" customHeight="1" x14ac:dyDescent="0.25">
      <c r="B21" s="44" t="s">
        <v>205</v>
      </c>
    </row>
    <row r="22" spans="2:2" ht="30" customHeight="1" x14ac:dyDescent="0.25">
      <c r="B22" s="44" t="s">
        <v>206</v>
      </c>
    </row>
    <row r="24" spans="2:2" x14ac:dyDescent="0.25">
      <c r="B24" s="43" t="s">
        <v>207</v>
      </c>
    </row>
    <row r="25" spans="2:2" ht="27.75" customHeight="1" x14ac:dyDescent="0.25">
      <c r="B25" s="44" t="s">
        <v>208</v>
      </c>
    </row>
    <row r="26" spans="2:2" ht="27.75" customHeight="1" x14ac:dyDescent="0.25">
      <c r="B26" s="44" t="s">
        <v>209</v>
      </c>
    </row>
    <row r="27" spans="2:2" ht="27.75" customHeight="1" x14ac:dyDescent="0.25">
      <c r="B27" s="44" t="s">
        <v>210</v>
      </c>
    </row>
    <row r="28" spans="2:2" ht="27.75" customHeight="1" x14ac:dyDescent="0.25">
      <c r="B28" s="44" t="s">
        <v>211</v>
      </c>
    </row>
    <row r="29" spans="2:2" ht="27.75" customHeight="1" x14ac:dyDescent="0.25">
      <c r="B29" s="44" t="s">
        <v>212</v>
      </c>
    </row>
    <row r="30" spans="2:2" ht="27.75" customHeight="1" x14ac:dyDescent="0.25">
      <c r="B30" s="44" t="s">
        <v>213</v>
      </c>
    </row>
  </sheetData>
  <pageMargins left="0.4" right="0.4" top="0.5" bottom="0.5"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Design Calculations</vt:lpstr>
      <vt:lpstr>Std Sizes &amp; Reference</vt:lpstr>
      <vt:lpstr>Legend &amp; Assumptions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Abdul Mujeeb Khan / ZAC Deputy Manager, Consultancy Bu</cp:lastModifiedBy>
  <cp:revision>0</cp:revision>
  <dcterms:created xsi:type="dcterms:W3CDTF">2026-09-21T07:56:48Z</dcterms:created>
  <dcterms:modified xsi:type="dcterms:W3CDTF">2026-09-21T08:00:28Z</dcterms:modified>
  <dc:language>en-US</dc:language>
</cp:coreProperties>
</file>