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comments2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ILDING" sheetId="1" state="visible" r:id="rId3"/>
    <sheet name="Data" sheetId="2" state="visible" r:id="rId4"/>
    <sheet name="Vel Head loss" sheetId="3" state="visible" r:id="rId5"/>
    <sheet name="data base" sheetId="4" state="hidden" r:id="rId6"/>
  </sheets>
  <definedNames>
    <definedName function="false" hidden="false" localSheetId="0" name="_xlnm.Print_Area" vbProcedure="false">BUILDING!$A$1:$N$115</definedName>
    <definedName function="false" hidden="false" localSheetId="1" name="_xlnm.Print_Area" vbProcedure="false">Data!$A$1:$G$22</definedName>
    <definedName function="false" hidden="false" name="consultant_s" vbProcedure="false">'data base'!$B$2:$B$14</definedName>
    <definedName function="false" hidden="false" name="delta_T" vbProcedure="false">#REF!</definedName>
    <definedName function="false" hidden="false" name="description___item" vbProcedure="false">'data base'!$A$2:$A$18</definedName>
    <definedName function="false" hidden="false" name="engineer_s" vbProcedure="false">'data base'!$C$2:$C$8</definedName>
    <definedName function="false" hidden="false" name="Float" vbProcedure="false">#REF!</definedName>
    <definedName function="false" hidden="false" name="Flow_Velocity_Float" vbProcedure="false">#REF!</definedName>
    <definedName function="false" hidden="false" name="HeadLossLimit" vbProcedure="false">#REF!</definedName>
    <definedName function="false" hidden="false" name="HeadLossLimit_BalanceLine" vbProcedure="false">#REF!</definedName>
    <definedName function="false" hidden="false" name="HeadLossLimit_LargePipe" vbProcedure="false">#REF!</definedName>
    <definedName function="false" hidden="false" name="HeadLossLimit_SmallPipe" vbProcedure="false">#REF!</definedName>
    <definedName function="false" hidden="false" name="kv" vbProcedure="false">Data!$N$2:$N$19</definedName>
    <definedName function="false" hidden="false" name="Max_Flow_Velocity" vbProcedure="false">#REF!</definedName>
    <definedName function="false" hidden="false" name="Min_Flow_Velocity" vbProcedure="false">#REF!</definedName>
    <definedName function="false" hidden="false" name="pipe_medium_s" vbProcedure="false">'data base'!$D$2:$D$20</definedName>
    <definedName function="false" hidden="false" name="size" vbProcedure="false">Data!$A$2:$A$21</definedName>
    <definedName function="false" hidden="false" localSheetId="0" name="HeadLossLimit_BalanceLine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2" authorId="0">
      <text>
        <r>
          <rPr>
            <sz val="10"/>
            <rFont val="Arial"/>
            <family val="2"/>
          </rPr>
          <t xml:space="preserve">ONLY ONE FITTING OR STRAIGHT 
LENGTH PER LINE.
NOT BOTH !!
</t>
        </r>
      </text>
    </comment>
    <comment ref="I13" authorId="0">
      <text>
        <r>
          <rPr>
            <sz val="10"/>
            <rFont val="Arial"/>
            <family val="2"/>
          </rPr>
          <t xml:space="preserve">Pressure-drop gradient calculated with the Hazen-Williams equation (SI units), using the pipe schedule table on the Data sheet (columns Q:S). Formula reproduces the workbook's original PipePressureDrop() VBA function exactly, but no longer requires macros to be enabled.</t>
        </r>
      </text>
    </comment>
    <comment ref="J10" authorId="0">
      <text>
        <r>
          <rPr>
            <sz val="10"/>
            <rFont val="Arial"/>
            <family val="2"/>
          </rPr>
          <t xml:space="preserve">Actual pump duty flow (l/s) not yet entered in the original workbook. Enter the confirmed pump/circuit design flow here once the pipework layout and secondary pumping arrangement are finalised.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Q1" authorId="0">
      <text>
        <r>
          <rPr>
            <sz val="10"/>
            <rFont val="Arial"/>
            <family val="2"/>
          </rPr>
          <t xml:space="preserve">Native pipe-schedule reference table (nominal size, internal diameter, Hazen-Williams C) reproduced from the workbook's original VBA functions (FluidVel / PipePressureDrop, © 1999 Cameron Robbins) so velocity and pressure-drop results no longer depend on macros being enabled.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G7" authorId="0">
      <text>
        <r>
          <rPr>
            <sz val="10"/>
            <rFont val="Arial"/>
            <family val="2"/>
          </rPr>
          <t xml:space="preserve">Corrected from 'x10' to 'x9.81': converts velocity head loss from metres of water to kPa (P = rho x g x h, with g = 9.81 m/s^2), consistent with the g-value already built into the G5 formula's 82711 constant. The previous x10 approximation understated the result by about 2%.</t>
        </r>
      </text>
    </comment>
  </commentList>
</comments>
</file>

<file path=xl/sharedStrings.xml><?xml version="1.0" encoding="utf-8"?>
<sst xmlns="http://schemas.openxmlformats.org/spreadsheetml/2006/main" count="523" uniqueCount="198">
  <si>
    <t xml:space="preserve">PUMP HEAD CALCULATION SHEET</t>
  </si>
  <si>
    <t xml:space="preserve">Project name:</t>
  </si>
  <si>
    <t xml:space="preserve">Pages</t>
  </si>
  <si>
    <t xml:space="preserve">of</t>
  </si>
  <si>
    <t xml:space="preserve">DATE</t>
  </si>
  <si>
    <t xml:space="preserve">Project No.</t>
  </si>
  <si>
    <t xml:space="preserve">REVISION</t>
  </si>
  <si>
    <t xml:space="preserve">ENGINEER</t>
  </si>
  <si>
    <t xml:space="preserve">Consultant:</t>
  </si>
  <si>
    <t xml:space="preserve">PIPE CONSTRUCTION</t>
  </si>
  <si>
    <t xml:space="preserve">Supplier:</t>
  </si>
  <si>
    <t xml:space="preserve">Medium Steel Pipe</t>
  </si>
  <si>
    <t xml:space="preserve">Designation</t>
  </si>
  <si>
    <t xml:space="preserve">Location:</t>
  </si>
  <si>
    <t xml:space="preserve">Building flow</t>
  </si>
  <si>
    <t xml:space="preserve">worst case</t>
  </si>
  <si>
    <t xml:space="preserve">l/s</t>
  </si>
  <si>
    <t xml:space="preserve">KPa</t>
  </si>
  <si>
    <t xml:space="preserve">Spec duty</t>
  </si>
  <si>
    <t xml:space="preserve">Actual</t>
  </si>
  <si>
    <t xml:space="preserve">ft</t>
  </si>
  <si>
    <t xml:space="preserve">PIPE</t>
  </si>
  <si>
    <t xml:space="preserve">LENGTH. OR</t>
  </si>
  <si>
    <t xml:space="preserve">PRESS</t>
  </si>
  <si>
    <t xml:space="preserve">No.</t>
  </si>
  <si>
    <t xml:space="preserve">TOTAL</t>
  </si>
  <si>
    <t xml:space="preserve">PROGRESSIVE</t>
  </si>
  <si>
    <t xml:space="preserve">DESCRIPTION</t>
  </si>
  <si>
    <t xml:space="preserve">SECT</t>
  </si>
  <si>
    <t xml:space="preserve">SIZE</t>
  </si>
  <si>
    <t xml:space="preserve">FLOW</t>
  </si>
  <si>
    <t xml:space="preserve">VEL</t>
  </si>
  <si>
    <t xml:space="preserve">EQUIVALENT</t>
  </si>
  <si>
    <t xml:space="preserve">DROP</t>
  </si>
  <si>
    <t xml:space="preserve">OFF</t>
  </si>
  <si>
    <t xml:space="preserve">P.D</t>
  </si>
  <si>
    <t xml:space="preserve">PRESS. DROP</t>
  </si>
  <si>
    <t xml:space="preserve">REMARKS</t>
  </si>
  <si>
    <t xml:space="preserve">Flow</t>
  </si>
  <si>
    <t xml:space="preserve">/ ITEM</t>
  </si>
  <si>
    <t xml:space="preserve">-ION</t>
  </si>
  <si>
    <t xml:space="preserve">mm</t>
  </si>
  <si>
    <t xml:space="preserve">m/s</t>
  </si>
  <si>
    <t xml:space="preserve">m</t>
  </si>
  <si>
    <t xml:space="preserve">kPa/m</t>
  </si>
  <si>
    <t xml:space="preserve">kPa</t>
  </si>
  <si>
    <t xml:space="preserve">GPM</t>
  </si>
  <si>
    <t xml:space="preserve">Inside Mech. Room</t>
  </si>
  <si>
    <t xml:space="preserve">SUPPLY</t>
  </si>
  <si>
    <t xml:space="preserve">Straight pipe</t>
  </si>
  <si>
    <t xml:space="preserve">A</t>
  </si>
  <si>
    <t xml:space="preserve">F Horizontal pipe</t>
  </si>
  <si>
    <t xml:space="preserve">90 R Bend</t>
  </si>
  <si>
    <t xml:space="preserve">F - Bend to pipe header</t>
  </si>
  <si>
    <t xml:space="preserve">F - Horizontal Pipe</t>
  </si>
  <si>
    <t xml:space="preserve">Tee - Line</t>
  </si>
  <si>
    <t xml:space="preserve">F - To pump suction</t>
  </si>
  <si>
    <t xml:space="preserve">Isolation Valve</t>
  </si>
  <si>
    <t xml:space="preserve">PUMP</t>
  </si>
  <si>
    <t xml:space="preserve">F - Isolation Valve</t>
  </si>
  <si>
    <t xml:space="preserve">Strainer</t>
  </si>
  <si>
    <t xml:space="preserve">F - Strainer</t>
  </si>
  <si>
    <t xml:space="preserve">F - From pump discharge to Header</t>
  </si>
  <si>
    <t xml:space="preserve">Non Return Valve</t>
  </si>
  <si>
    <t xml:space="preserve">F - From pump discharge</t>
  </si>
  <si>
    <t xml:space="preserve">F - to discharge header</t>
  </si>
  <si>
    <t xml:space="preserve">F - Vertical pipe exiting ground </t>
  </si>
  <si>
    <t xml:space="preserve">F - horizontal pipe exiting ground </t>
  </si>
  <si>
    <t xml:space="preserve">Tee - Branch</t>
  </si>
  <si>
    <t xml:space="preserve">F - Tee to main header</t>
  </si>
  <si>
    <t xml:space="preserve">F - Horizontal pipe</t>
  </si>
  <si>
    <t xml:space="preserve">Air Dirt Separator</t>
  </si>
  <si>
    <t xml:space="preserve">F - Air dirt separator</t>
  </si>
  <si>
    <t xml:space="preserve">F &amp; R - Vertical pipe exiting ground </t>
  </si>
  <si>
    <t xml:space="preserve">RETURN</t>
  </si>
  <si>
    <t xml:space="preserve">R - Horizontal Pipe to HEX header </t>
  </si>
  <si>
    <t xml:space="preserve">R - Bend to pipe header</t>
  </si>
  <si>
    <t xml:space="preserve">R - Horizontal Pipe to header </t>
  </si>
  <si>
    <t xml:space="preserve">R- Bend to pipe header</t>
  </si>
  <si>
    <t xml:space="preserve">F &amp; R - header take off</t>
  </si>
  <si>
    <t xml:space="preserve">F &amp; R</t>
  </si>
  <si>
    <t xml:space="preserve">F &amp; R - straight pipe inside plantroom</t>
  </si>
  <si>
    <t xml:space="preserve">F &amp;R - Bends inside Mech room</t>
  </si>
  <si>
    <t xml:space="preserve">F &amp; R - Return inside Mech room</t>
  </si>
  <si>
    <t xml:space="preserve">F &amp; R- Isolation Valve</t>
  </si>
  <si>
    <t xml:space="preserve">F &amp; R - Bends inside Mech room to upper </t>
  </si>
  <si>
    <t xml:space="preserve">Inside building</t>
  </si>
  <si>
    <t xml:space="preserve">F &amp; R - length of 5" pipework</t>
  </si>
  <si>
    <t xml:space="preserve">F &amp; R - bends of 5" pipework</t>
  </si>
  <si>
    <t xml:space="preserve">F - isolation into apartment</t>
  </si>
  <si>
    <t xml:space="preserve">F &amp; R - T lines of 5" pipework</t>
  </si>
  <si>
    <t xml:space="preserve">Reducer</t>
  </si>
  <si>
    <t xml:space="preserve">F &amp; R - Reducer 5" to 4"</t>
  </si>
  <si>
    <t xml:space="preserve">Balance valve</t>
  </si>
  <si>
    <t xml:space="preserve">R - balance into apartment</t>
  </si>
  <si>
    <t xml:space="preserve">F &amp; R - length of 4" pipework</t>
  </si>
  <si>
    <t xml:space="preserve">F &amp; R - bends of 4" pipework</t>
  </si>
  <si>
    <t xml:space="preserve">F &amp; R - Horizontal</t>
  </si>
  <si>
    <t xml:space="preserve">F &amp; R - Vertical pipework to retail</t>
  </si>
  <si>
    <t xml:space="preserve">F &amp; R Vertical elbow at level 0</t>
  </si>
  <si>
    <t xml:space="preserve">F &amp; R horizontal elbow at level 0</t>
  </si>
  <si>
    <t xml:space="preserve">F &amp; R - Vertical pipework at retail</t>
  </si>
  <si>
    <t xml:space="preserve">F &amp; R - Horizontal pipework to retail</t>
  </si>
  <si>
    <t xml:space="preserve">F &amp; R - Horizontal bends to retail</t>
  </si>
  <si>
    <t xml:space="preserve">Index AHU</t>
  </si>
  <si>
    <t xml:space="preserve">F - Coil Strainer</t>
  </si>
  <si>
    <t xml:space="preserve">F - Isolation valve</t>
  </si>
  <si>
    <t xml:space="preserve">Cooling coil</t>
  </si>
  <si>
    <t xml:space="preserve">COOLING COIL</t>
  </si>
  <si>
    <t xml:space="preserve">R - Isolation valve 1 </t>
  </si>
  <si>
    <t xml:space="preserve">R - Bypass takeoff</t>
  </si>
  <si>
    <t xml:space="preserve">R - Isolation valve 2 </t>
  </si>
  <si>
    <t xml:space="preserve">Control Valve</t>
  </si>
  <si>
    <t xml:space="preserve">COIL CONTROL VALVE</t>
  </si>
  <si>
    <t xml:space="preserve">R - line balance valve</t>
  </si>
  <si>
    <t xml:space="preserve">SUB-TOTAL</t>
  </si>
  <si>
    <t xml:space="preserve">NOTES:</t>
  </si>
  <si>
    <t xml:space="preserve">SAFETY</t>
  </si>
  <si>
    <t xml:space="preserve">TOTAL P.D</t>
  </si>
  <si>
    <t xml:space="preserve">SUPPLIER</t>
  </si>
  <si>
    <t xml:space="preserve">MODEL No.</t>
  </si>
  <si>
    <t xml:space="preserve">MODEL SPECIFIED</t>
  </si>
  <si>
    <t xml:space="preserve">MODEL SELECTED</t>
  </si>
  <si>
    <t xml:space="preserve">size</t>
  </si>
  <si>
    <t xml:space="preserve">B90</t>
  </si>
  <si>
    <t xml:space="preserve">IV</t>
  </si>
  <si>
    <t xml:space="preserve">TeeLine</t>
  </si>
  <si>
    <t xml:space="preserve">TeeBend</t>
  </si>
  <si>
    <t xml:space="preserve">Non Ret.</t>
  </si>
  <si>
    <t xml:space="preserve">Reducer 1/2</t>
  </si>
  <si>
    <t xml:space="preserve">Check Vlv</t>
  </si>
  <si>
    <t xml:space="preserve">KV</t>
  </si>
  <si>
    <t xml:space="preserve">Valve Size</t>
  </si>
  <si>
    <t xml:space="preserve">Nominal (mm)</t>
  </si>
  <si>
    <t xml:space="preserve">Internal Dia (mm)</t>
  </si>
  <si>
    <t xml:space="preserve">Hazen-Williams C</t>
  </si>
  <si>
    <t xml:space="preserve">ecc</t>
  </si>
  <si>
    <t xml:space="preserve">conc</t>
  </si>
  <si>
    <t xml:space="preserve">L/S</t>
  </si>
  <si>
    <t xml:space="preserve">Suction</t>
  </si>
  <si>
    <t xml:space="preserve">VH loss</t>
  </si>
  <si>
    <t xml:space="preserve">meters</t>
  </si>
  <si>
    <t xml:space="preserve">Discharge</t>
  </si>
  <si>
    <t xml:space="preserve">Kpa</t>
  </si>
  <si>
    <t xml:space="preserve">Q</t>
  </si>
  <si>
    <t xml:space="preserve">N</t>
  </si>
  <si>
    <t xml:space="preserve">H</t>
  </si>
  <si>
    <t xml:space="preserve">Speed</t>
  </si>
  <si>
    <t xml:space="preserve">Head</t>
  </si>
  <si>
    <t xml:space="preserve">RPM</t>
  </si>
  <si>
    <t xml:space="preserve">M</t>
  </si>
  <si>
    <t xml:space="preserve">Change in speed</t>
  </si>
  <si>
    <t xml:space="preserve">description / item</t>
  </si>
  <si>
    <t xml:space="preserve">consultant's</t>
  </si>
  <si>
    <t xml:space="preserve">engineer's</t>
  </si>
  <si>
    <t xml:space="preserve">pipe medium's</t>
  </si>
  <si>
    <t xml:space="preserve">Pipe data</t>
  </si>
  <si>
    <t xml:space="preserve">Bassett's</t>
  </si>
  <si>
    <t xml:space="preserve">C.Dearling</t>
  </si>
  <si>
    <t xml:space="preserve">A.B.S (Thermoplastic - Class 4.5)</t>
  </si>
  <si>
    <t xml:space="preserve">Civil &amp; Civic</t>
  </si>
  <si>
    <t xml:space="preserve">C.Pinder</t>
  </si>
  <si>
    <t xml:space="preserve">A.B.S (Thermoplastic - Class 6)</t>
  </si>
  <si>
    <t xml:space="preserve">nominal</t>
  </si>
  <si>
    <t xml:space="preserve">inside</t>
  </si>
  <si>
    <t xml:space="preserve">wall thk</t>
  </si>
  <si>
    <t xml:space="preserve">Maximum</t>
  </si>
  <si>
    <t xml:space="preserve">Mass</t>
  </si>
  <si>
    <t xml:space="preserve">EMF Griffith's</t>
  </si>
  <si>
    <t xml:space="preserve">L.Ramah</t>
  </si>
  <si>
    <t xml:space="preserve">A.B.S (Thermoplastic - Class 9)</t>
  </si>
  <si>
    <t xml:space="preserve">dia</t>
  </si>
  <si>
    <t xml:space="preserve">Pressure kPa</t>
  </si>
  <si>
    <t xml:space="preserve">kg/m</t>
  </si>
  <si>
    <t xml:space="preserve">Lincolne Scott</t>
  </si>
  <si>
    <t xml:space="preserve">M.Loveday</t>
  </si>
  <si>
    <t xml:space="preserve">A.B.S (Thermoplastic - Class 10)</t>
  </si>
  <si>
    <t xml:space="preserve">Mienhardt</t>
  </si>
  <si>
    <t xml:space="preserve">J.Smith</t>
  </si>
  <si>
    <t xml:space="preserve">A.B.S (Thermoplastic - Class 12)</t>
  </si>
  <si>
    <t xml:space="preserve">Q Build</t>
  </si>
  <si>
    <t xml:space="preserve">A.B.S (Thermoplastic - Class 15)</t>
  </si>
  <si>
    <t xml:space="preserve">Chiller</t>
  </si>
  <si>
    <t xml:space="preserve">WBM</t>
  </si>
  <si>
    <t xml:space="preserve">Coes-therm</t>
  </si>
  <si>
    <t xml:space="preserve">N D Y</t>
  </si>
  <si>
    <t xml:space="preserve">Copper tube (Type A)</t>
  </si>
  <si>
    <t xml:space="preserve">Copper tube (Type B)</t>
  </si>
  <si>
    <t xml:space="preserve">Annubar</t>
  </si>
  <si>
    <t xml:space="preserve">Galv Steel Pipe (Medium)</t>
  </si>
  <si>
    <t xml:space="preserve">Griswald Valve</t>
  </si>
  <si>
    <t xml:space="preserve">Heavy Steel Pipe</t>
  </si>
  <si>
    <t xml:space="preserve">Light Steel Pipe</t>
  </si>
  <si>
    <t xml:space="preserve">Heat meter</t>
  </si>
  <si>
    <t xml:space="preserve">P.V.C (Class 12)</t>
  </si>
  <si>
    <t xml:space="preserve">Stand WT Steel</t>
  </si>
  <si>
    <t xml:space="preserve">Stainless Steel</t>
  </si>
  <si>
    <t xml:space="preserve">Absolute Roughness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</si>
</sst>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0.0"/>
    <numFmt numFmtId="167" formatCode="0.00"/>
    <numFmt numFmtId="168" formatCode="0.000"/>
    <numFmt numFmtId="169" formatCode="0.00000"/>
    <numFmt numFmtId="170" formatCode="0%"/>
    <numFmt numFmtId="171" formatCode="0.0000"/>
  </numFmts>
  <fonts count="2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33CCCC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8"/>
      <name val="Arial"/>
      <family val="2"/>
      <charset val="1"/>
    </font>
    <font>
      <sz val="10"/>
      <color rgb="FFFF0000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b val="true"/>
      <sz val="8"/>
      <color rgb="FFFFFFFF"/>
      <name val="Arial"/>
      <family val="2"/>
      <charset val="1"/>
    </font>
    <font>
      <b val="true"/>
      <sz val="7"/>
      <color rgb="FFFFFFFF"/>
      <name val="Arial"/>
      <family val="2"/>
      <charset val="1"/>
    </font>
    <font>
      <b val="true"/>
      <sz val="7"/>
      <color rgb="FF0000FF"/>
      <name val="Arial"/>
      <family val="2"/>
      <charset val="1"/>
    </font>
    <font>
      <b val="true"/>
      <sz val="10"/>
      <color rgb="FF33CCCC"/>
      <name val="Arial"/>
      <family val="2"/>
      <charset val="1"/>
    </font>
    <font>
      <sz val="10"/>
      <color rgb="FF0000FF"/>
      <name val="Arial"/>
      <family val="2"/>
      <charset val="1"/>
    </font>
    <font>
      <sz val="10"/>
      <color rgb="FF993300"/>
      <name val="Arial"/>
      <family val="2"/>
      <charset val="1"/>
    </font>
    <font>
      <sz val="8"/>
      <color rgb="FF993300"/>
      <name val="Arial"/>
      <family val="2"/>
      <charset val="1"/>
    </font>
    <font>
      <b val="true"/>
      <sz val="7"/>
      <color rgb="FF33CCCC"/>
      <name val="Arial"/>
      <family val="2"/>
      <charset val="1"/>
    </font>
    <font>
      <sz val="10"/>
      <name val="Arial"/>
      <family val="2"/>
    </font>
    <font>
      <b val="true"/>
      <sz val="8"/>
      <color rgb="FFFFFFFF"/>
      <name val="Arial"/>
      <family val="0"/>
      <charset val="1"/>
    </font>
    <font>
      <b val="true"/>
      <sz val="10"/>
      <color rgb="FF0000FF"/>
      <name val="Arial"/>
      <family val="2"/>
      <charset val="1"/>
    </font>
    <font>
      <b val="true"/>
      <sz val="10"/>
      <color rgb="FF800080"/>
      <name val="Arial"/>
      <family val="2"/>
      <charset val="1"/>
    </font>
    <font>
      <b val="true"/>
      <sz val="10"/>
      <color rgb="FFFFFFFF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0066CC"/>
        <bgColor rgb="FF008080"/>
      </patternFill>
    </fill>
    <fill>
      <patternFill patternType="solid">
        <fgColor rgb="FF00FF00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CCCFF"/>
      </patternFill>
    </fill>
    <fill>
      <patternFill patternType="solid">
        <fgColor rgb="FFCCFFFF"/>
        <bgColor rgb="FFCCFFFF"/>
      </patternFill>
    </fill>
  </fills>
  <borders count="6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ck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ck"/>
      <right style="medium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 style="thick"/>
      <bottom/>
      <diagonal/>
    </border>
    <border diagonalUp="false" diagonalDown="false">
      <left style="thin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3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3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3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3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3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3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5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5" fontId="0" fillId="0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2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7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7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8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7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6" fillId="5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5" xfId="0" applyFont="true" applyBorder="true" applyAlignment="true" applyProtection="false">
      <alignment horizontal="center" vertical="center" textRotation="255" wrapText="true" indent="0" shrinkToFit="false"/>
      <protection locked="true" hidden="false"/>
    </xf>
    <xf numFmtId="164" fontId="0" fillId="0" borderId="2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2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2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2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3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2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4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4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4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2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2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23" fillId="0" borderId="4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3" fillId="0" borderId="4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4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4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6" borderId="4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6" borderId="4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3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5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5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5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5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6" borderId="2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6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6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6" borderId="2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6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4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5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2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5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0" fillId="0" borderId="4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0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3" topLeftCell="C14" activePane="bottomRight" state="frozen"/>
      <selection pane="topLeft" activeCell="A1" activeCellId="0" sqref="A1"/>
      <selection pane="topRight" activeCell="C1" activeCellId="0" sqref="C1"/>
      <selection pane="bottomLeft" activeCell="A14" activeCellId="0" sqref="A14"/>
      <selection pane="bottomRigh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7.85"/>
    <col collapsed="false" customWidth="true" hidden="false" outlineLevel="0" max="2" min="2" style="1" width="7.56"/>
    <col collapsed="false" customWidth="true" hidden="false" outlineLevel="0" max="3" min="3" style="2" width="7.56"/>
    <col collapsed="false" customWidth="true" hidden="false" outlineLevel="0" max="4" min="4" style="1" width="4.41"/>
    <col collapsed="false" customWidth="true" hidden="false" outlineLevel="0" max="5" min="5" style="1" width="7.56"/>
    <col collapsed="false" customWidth="true" hidden="false" outlineLevel="0" max="6" min="6" style="1" width="7.42"/>
    <col collapsed="false" customWidth="true" hidden="false" outlineLevel="0" max="7" min="7" style="1" width="5.85"/>
    <col collapsed="false" customWidth="true" hidden="false" outlineLevel="0" max="9" min="9" style="1" width="6.85"/>
    <col collapsed="false" customWidth="true" hidden="false" outlineLevel="0" max="10" min="10" style="1" width="5.13"/>
    <col collapsed="false" customWidth="true" hidden="false" outlineLevel="0" max="11" min="11" style="1" width="7.16"/>
    <col collapsed="false" customWidth="true" hidden="false" outlineLevel="0" max="12" min="12" style="1" width="10.99"/>
    <col collapsed="false" customWidth="true" hidden="false" outlineLevel="0" max="13" min="13" style="1" width="8.28"/>
    <col collapsed="false" customWidth="true" hidden="false" outlineLevel="0" max="14" min="14" style="1" width="25.85"/>
    <col collapsed="false" customWidth="true" hidden="true" outlineLevel="0" max="15" min="15" style="1" width="8.56"/>
    <col collapsed="false" customWidth="true" hidden="true" outlineLevel="0" max="16" min="16" style="1" width="6.7"/>
    <col collapsed="false" customWidth="true" hidden="true" outlineLevel="0" max="17" min="17" style="1" width="7.42"/>
    <col collapsed="false" customWidth="true" hidden="false" outlineLevel="0" max="18" min="18" style="3" width="9.14"/>
    <col collapsed="false" customWidth="true" hidden="false" outlineLevel="0" max="20" min="20" style="1" width="12.7"/>
  </cols>
  <sheetData>
    <row r="1" customFormat="false" ht="18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1" customFormat="true" ht="12.75" hidden="false" customHeight="true" outlineLevel="0" collapsed="false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9" t="s">
        <v>2</v>
      </c>
      <c r="L2" s="9"/>
      <c r="M2" s="9" t="s">
        <v>3</v>
      </c>
      <c r="N2" s="10"/>
      <c r="R2" s="12"/>
    </row>
    <row r="3" customFormat="false" ht="12.75" hidden="false" customHeight="true" outlineLevel="0" collapsed="false">
      <c r="A3" s="13"/>
      <c r="B3" s="13"/>
      <c r="C3" s="13"/>
      <c r="D3" s="13"/>
      <c r="E3" s="13"/>
      <c r="F3" s="13"/>
      <c r="G3" s="13"/>
      <c r="H3" s="13"/>
      <c r="I3" s="13"/>
      <c r="J3" s="13"/>
      <c r="K3" s="9" t="s">
        <v>4</v>
      </c>
      <c r="L3" s="9"/>
      <c r="M3" s="14"/>
      <c r="N3" s="14"/>
    </row>
    <row r="4" customFormat="false" ht="12.75" hidden="false" customHeight="true" outlineLevel="0" collapsed="false">
      <c r="A4" s="5" t="s">
        <v>5</v>
      </c>
      <c r="B4" s="15"/>
      <c r="C4" s="16"/>
      <c r="D4" s="8"/>
      <c r="E4" s="8"/>
      <c r="F4" s="8"/>
      <c r="G4" s="9" t="s">
        <v>6</v>
      </c>
      <c r="H4" s="9"/>
      <c r="I4" s="9"/>
      <c r="J4" s="9"/>
      <c r="K4" s="17" t="s">
        <v>7</v>
      </c>
      <c r="L4" s="17"/>
      <c r="M4" s="18"/>
      <c r="N4" s="18"/>
    </row>
    <row r="5" customFormat="false" ht="12.75" hidden="false" customHeight="true" outlineLevel="0" collapsed="false">
      <c r="A5" s="19" t="s">
        <v>8</v>
      </c>
      <c r="B5" s="20"/>
      <c r="C5" s="21"/>
      <c r="D5" s="8"/>
      <c r="E5" s="8"/>
      <c r="F5" s="8"/>
      <c r="G5" s="22"/>
      <c r="H5" s="22"/>
      <c r="I5" s="22"/>
      <c r="J5" s="22"/>
      <c r="K5" s="23"/>
      <c r="L5" s="24" t="s">
        <v>9</v>
      </c>
      <c r="M5" s="24"/>
      <c r="N5" s="24"/>
    </row>
    <row r="6" customFormat="false" ht="12.75" hidden="false" customHeight="true" outlineLevel="0" collapsed="false">
      <c r="A6" s="25" t="s">
        <v>10</v>
      </c>
      <c r="B6" s="25"/>
      <c r="C6" s="26"/>
      <c r="D6" s="8"/>
      <c r="E6" s="8"/>
      <c r="F6" s="8"/>
      <c r="G6" s="27"/>
      <c r="H6" s="27"/>
      <c r="I6" s="27"/>
      <c r="J6" s="27"/>
      <c r="K6" s="28"/>
      <c r="L6" s="29" t="s">
        <v>11</v>
      </c>
      <c r="M6" s="29"/>
      <c r="N6" s="29"/>
    </row>
    <row r="7" customFormat="false" ht="12.75" hidden="false" customHeight="true" outlineLevel="0" collapsed="false">
      <c r="A7" s="19" t="s">
        <v>12</v>
      </c>
      <c r="B7" s="20"/>
      <c r="C7" s="21"/>
      <c r="D7" s="8"/>
      <c r="E7" s="8"/>
      <c r="F7" s="8"/>
      <c r="G7" s="30"/>
      <c r="H7" s="30"/>
      <c r="I7" s="30"/>
      <c r="J7" s="30"/>
      <c r="K7" s="28"/>
      <c r="L7" s="29"/>
      <c r="M7" s="29"/>
      <c r="N7" s="29"/>
      <c r="O7" s="31"/>
      <c r="P7" s="31"/>
      <c r="Q7" s="31"/>
    </row>
    <row r="8" customFormat="false" ht="12.75" hidden="false" customHeight="true" outlineLevel="0" collapsed="false">
      <c r="A8" s="32" t="s">
        <v>13</v>
      </c>
      <c r="B8" s="32"/>
      <c r="C8" s="33"/>
      <c r="D8" s="8"/>
      <c r="E8" s="8"/>
      <c r="F8" s="8"/>
      <c r="G8" s="17"/>
      <c r="H8" s="17"/>
      <c r="I8" s="17"/>
      <c r="J8" s="17"/>
      <c r="K8" s="28"/>
      <c r="L8" s="29"/>
      <c r="M8" s="29"/>
      <c r="N8" s="29"/>
      <c r="O8" s="31"/>
      <c r="P8" s="31"/>
      <c r="Q8" s="31"/>
      <c r="T8" s="1" t="s">
        <v>14</v>
      </c>
      <c r="U8" s="1" t="n">
        <v>275</v>
      </c>
      <c r="V8" s="1" t="s">
        <v>15</v>
      </c>
    </row>
    <row r="9" customFormat="false" ht="12.75" hidden="false" customHeight="true" outlineLevel="0" collapsed="false">
      <c r="A9" s="34"/>
      <c r="B9" s="34"/>
      <c r="C9" s="35"/>
      <c r="D9" s="36" t="s">
        <v>16</v>
      </c>
      <c r="E9" s="36"/>
      <c r="F9" s="37" t="s">
        <v>17</v>
      </c>
      <c r="G9" s="37"/>
      <c r="H9" s="36"/>
      <c r="I9" s="36"/>
      <c r="J9" s="36" t="s">
        <v>16</v>
      </c>
      <c r="K9" s="36"/>
      <c r="L9" s="36"/>
      <c r="M9" s="38" t="s">
        <v>17</v>
      </c>
      <c r="N9" s="38"/>
      <c r="O9" s="31"/>
      <c r="P9" s="31"/>
      <c r="Q9" s="31"/>
      <c r="S9" s="39"/>
    </row>
    <row r="10" customFormat="false" ht="12.75" hidden="false" customHeight="true" outlineLevel="0" collapsed="false">
      <c r="A10" s="40" t="s">
        <v>18</v>
      </c>
      <c r="B10" s="40"/>
      <c r="C10" s="41"/>
      <c r="D10" s="42" t="n">
        <v>20</v>
      </c>
      <c r="E10" s="42"/>
      <c r="F10" s="43"/>
      <c r="G10" s="43"/>
      <c r="H10" s="44" t="s">
        <v>19</v>
      </c>
      <c r="I10" s="44"/>
      <c r="J10" s="45"/>
      <c r="K10" s="45"/>
      <c r="L10" s="45"/>
      <c r="M10" s="46" t="n">
        <f aca="false">CEILING(K112,5)</f>
        <v>170</v>
      </c>
      <c r="N10" s="46"/>
      <c r="O10" s="31"/>
      <c r="P10" s="31"/>
      <c r="Q10" s="31"/>
      <c r="T10" s="47" t="n">
        <f aca="false">M10*0.334553</f>
        <v>56.87401</v>
      </c>
      <c r="U10" s="48" t="s">
        <v>20</v>
      </c>
    </row>
    <row r="11" customFormat="false" ht="12.75" hidden="false" customHeight="true" outlineLevel="0" collapsed="false">
      <c r="A11" s="49"/>
      <c r="B11" s="49"/>
      <c r="C11" s="50"/>
      <c r="D11" s="49"/>
      <c r="E11" s="51" t="s">
        <v>21</v>
      </c>
      <c r="F11" s="52"/>
      <c r="G11" s="51"/>
      <c r="H11" s="53" t="s">
        <v>22</v>
      </c>
      <c r="I11" s="50" t="s">
        <v>23</v>
      </c>
      <c r="J11" s="51" t="s">
        <v>24</v>
      </c>
      <c r="K11" s="51" t="s">
        <v>25</v>
      </c>
      <c r="L11" s="54" t="s">
        <v>26</v>
      </c>
      <c r="M11" s="55"/>
      <c r="N11" s="55"/>
      <c r="O11" s="31"/>
      <c r="P11" s="31"/>
      <c r="Q11" s="31"/>
    </row>
    <row r="12" customFormat="false" ht="12.75" hidden="false" customHeight="true" outlineLevel="0" collapsed="false">
      <c r="A12" s="56" t="s">
        <v>27</v>
      </c>
      <c r="B12" s="56"/>
      <c r="C12" s="57"/>
      <c r="D12" s="52" t="s">
        <v>28</v>
      </c>
      <c r="E12" s="52" t="s">
        <v>29</v>
      </c>
      <c r="F12" s="52" t="s">
        <v>30</v>
      </c>
      <c r="G12" s="52" t="s">
        <v>31</v>
      </c>
      <c r="H12" s="58" t="s">
        <v>32</v>
      </c>
      <c r="I12" s="59" t="s">
        <v>33</v>
      </c>
      <c r="J12" s="52" t="s">
        <v>34</v>
      </c>
      <c r="K12" s="52" t="s">
        <v>35</v>
      </c>
      <c r="L12" s="60" t="s">
        <v>36</v>
      </c>
      <c r="M12" s="61" t="s">
        <v>37</v>
      </c>
      <c r="N12" s="61"/>
      <c r="O12" s="31"/>
      <c r="P12" s="31"/>
      <c r="Q12" s="31"/>
      <c r="R12" s="62" t="s">
        <v>38</v>
      </c>
    </row>
    <row r="13" customFormat="false" ht="12.75" hidden="false" customHeight="true" outlineLevel="0" collapsed="false">
      <c r="A13" s="63" t="s">
        <v>39</v>
      </c>
      <c r="B13" s="63"/>
      <c r="C13" s="64"/>
      <c r="D13" s="65" t="s">
        <v>40</v>
      </c>
      <c r="E13" s="66" t="s">
        <v>41</v>
      </c>
      <c r="F13" s="63" t="s">
        <v>16</v>
      </c>
      <c r="G13" s="65" t="s">
        <v>42</v>
      </c>
      <c r="H13" s="67" t="s">
        <v>43</v>
      </c>
      <c r="I13" s="68" t="s">
        <v>44</v>
      </c>
      <c r="J13" s="69"/>
      <c r="K13" s="66" t="s">
        <v>45</v>
      </c>
      <c r="L13" s="66" t="s">
        <v>45</v>
      </c>
      <c r="M13" s="70"/>
      <c r="N13" s="70"/>
      <c r="P13" s="71"/>
      <c r="Q13" s="72"/>
      <c r="R13" s="62" t="s">
        <v>46</v>
      </c>
    </row>
    <row r="14" customFormat="false" ht="12.75" hidden="false" customHeight="true" outlineLevel="0" collapsed="false">
      <c r="A14" s="73" t="s">
        <v>47</v>
      </c>
      <c r="B14" s="73"/>
      <c r="C14" s="74" t="s">
        <v>48</v>
      </c>
      <c r="D14" s="75"/>
      <c r="E14" s="75"/>
      <c r="F14" s="76"/>
      <c r="G14" s="77" t="str">
        <f aca="false">IF(E14="","",(F14/1000)/(PI()*(IFERROR(INDEX(Data!$R$2:$R$21,MATCH(E14,Data!$Q$2:$Q$21,0)),9999)/1000)^2/4))</f>
        <v/>
      </c>
      <c r="H14" s="78" t="str">
        <f aca="false">IF((A14="90 R Bend"),(VLOOKUP(E14,Data!$A$2:$G$21,2)),IF((A14="Isolation Valve"),(VLOOKUP(E14,Data!$A$2:$G$21,3)),IF((A14="Non Return Valve"),(VLOOKUP(E14,Data!$A$2:$G$21,7)),IF((A14="Tee - Line"),(VLOOKUP(E14,Data!$A$2:$G$21,4)),IF((A14="Tee - Branch"),(VLOOKUP(E14,Data!$A$2:$G$21,5)),IF((A14="Reducer"),(VLOOKUP(E14,Data!$A$2:$G$21,6)),""))))))</f>
        <v/>
      </c>
      <c r="I14" s="79" t="str">
        <f aca="false">IF(E14="","",((((3350000*F14)/(IFERROR(INDEX(Data!$R$2:$R$21,MATCH(E14,Data!$Q$2:$Q$21,0)),9999)^2.63*IFERROR(INDEX(Data!$S$2:$S$21,MATCH(E14,Data!$Q$2:$Q$21,0)),141)))^1.852*100)/1000))</f>
        <v/>
      </c>
      <c r="J14" s="80"/>
      <c r="K14" s="81" t="str">
        <f aca="false">IF(AND(I14="",H14=""),"",(J14*I14*H14))</f>
        <v/>
      </c>
      <c r="L14" s="82"/>
      <c r="M14" s="83"/>
      <c r="N14" s="83"/>
      <c r="P14" s="84"/>
      <c r="Q14" s="85"/>
    </row>
    <row r="15" customFormat="false" ht="12.75" hidden="false" customHeight="true" outlineLevel="0" collapsed="false">
      <c r="A15" s="86" t="s">
        <v>49</v>
      </c>
      <c r="B15" s="86"/>
      <c r="C15" s="74"/>
      <c r="D15" s="87" t="s">
        <v>50</v>
      </c>
      <c r="E15" s="87" t="n">
        <v>100</v>
      </c>
      <c r="F15" s="88" t="n">
        <f aca="false">R15*0.06309</f>
        <v>8.64333</v>
      </c>
      <c r="G15" s="89" t="n">
        <f aca="false">IF(E15="","",(F15/1000)/(PI()*(IFERROR(INDEX(Data!$R$2:$R$21,MATCH(E15,Data!$Q$2:$Q$21,0)),9999)/1000)^2/4))</f>
        <v>1.13889628819078</v>
      </c>
      <c r="H15" s="90" t="n">
        <v>1.2</v>
      </c>
      <c r="I15" s="91" t="n">
        <f aca="false">IF(E15="","",((((3350000*F15)/(IFERROR(INDEX(Data!$R$2:$R$21,MATCH(E15,Data!$Q$2:$Q$21,0)),9999)^2.63*IFERROR(INDEX(Data!$S$2:$S$21,MATCH(E15,Data!$Q$2:$Q$21,0)),141)))^1.852*100)/1000))</f>
        <v>0.127492579569687</v>
      </c>
      <c r="J15" s="92" t="n">
        <v>1</v>
      </c>
      <c r="K15" s="81" t="n">
        <f aca="false">IF(AND(I15="",H15=""),"",(J15*I15*H15))</f>
        <v>0.152991095483625</v>
      </c>
      <c r="L15" s="82"/>
      <c r="M15" s="93" t="s">
        <v>51</v>
      </c>
      <c r="N15" s="93"/>
      <c r="P15" s="84"/>
      <c r="Q15" s="85"/>
      <c r="R15" s="3" t="n">
        <v>137</v>
      </c>
    </row>
    <row r="16" customFormat="false" ht="12.75" hidden="false" customHeight="true" outlineLevel="0" collapsed="false">
      <c r="A16" s="86" t="s">
        <v>52</v>
      </c>
      <c r="B16" s="86"/>
      <c r="C16" s="74"/>
      <c r="D16" s="87" t="s">
        <v>50</v>
      </c>
      <c r="E16" s="87" t="n">
        <v>100</v>
      </c>
      <c r="F16" s="88" t="n">
        <f aca="false">R16*0.06309</f>
        <v>8.64333</v>
      </c>
      <c r="G16" s="89" t="n">
        <f aca="false">IF(E16="","",(F16/1000)/(PI()*(IFERROR(INDEX(Data!$R$2:$R$21,MATCH(E16,Data!$Q$2:$Q$21,0)),9999)/1000)^2/4))</f>
        <v>1.13889628819078</v>
      </c>
      <c r="H16" s="90" t="n">
        <f aca="false">IF((A16="90 R Bend"),(VLOOKUP(E16,Data!$A$2:$G$21,2)),IF((A16="Isolation Valve"),(VLOOKUP(E16,Data!$A$2:$G$21,3)),IF((A16="Non Return Valve"),(VLOOKUP(E16,Data!$A$2:$G$21,7)),IF((A16="Tee - Line"),(VLOOKUP(E16,Data!$A$2:$G$21,4)),IF((A16="Tee - Branch"),(VLOOKUP(E16,Data!$A$2:$G$21,5)),IF((A16="Reducer"),(VLOOKUP(E16,Data!$A$2:$G$21,6)),""))))))</f>
        <v>2.06</v>
      </c>
      <c r="I16" s="91" t="n">
        <f aca="false">IF(E16="","",((((3350000*F16)/(IFERROR(INDEX(Data!$R$2:$R$21,MATCH(E16,Data!$Q$2:$Q$21,0)),9999)^2.63*IFERROR(INDEX(Data!$S$2:$S$21,MATCH(E16,Data!$Q$2:$Q$21,0)),141)))^1.852*100)/1000))</f>
        <v>0.127492579569687</v>
      </c>
      <c r="J16" s="92" t="n">
        <v>1</v>
      </c>
      <c r="K16" s="81" t="n">
        <f aca="false">IF(AND(I16="",H16=""),"",(J16*I16*H16))</f>
        <v>0.262634713913556</v>
      </c>
      <c r="L16" s="82"/>
      <c r="M16" s="83" t="s">
        <v>53</v>
      </c>
      <c r="N16" s="83"/>
      <c r="P16" s="84"/>
      <c r="Q16" s="85"/>
      <c r="R16" s="3" t="n">
        <v>137</v>
      </c>
    </row>
    <row r="17" customFormat="false" ht="12.75" hidden="false" customHeight="true" outlineLevel="0" collapsed="false">
      <c r="A17" s="86" t="s">
        <v>49</v>
      </c>
      <c r="B17" s="86"/>
      <c r="C17" s="74"/>
      <c r="D17" s="87" t="s">
        <v>50</v>
      </c>
      <c r="E17" s="87" t="n">
        <v>100</v>
      </c>
      <c r="F17" s="88" t="n">
        <f aca="false">R17*0.06309</f>
        <v>8.64333</v>
      </c>
      <c r="G17" s="89" t="n">
        <f aca="false">IF(E17="","",(F17/1000)/(PI()*(IFERROR(INDEX(Data!$R$2:$R$21,MATCH(E17,Data!$Q$2:$Q$21,0)),9999)/1000)^2/4))</f>
        <v>1.13889628819078</v>
      </c>
      <c r="H17" s="90" t="n">
        <v>0.5</v>
      </c>
      <c r="I17" s="91" t="n">
        <f aca="false">IF(E17="","",((((3350000*F17)/(IFERROR(INDEX(Data!$R$2:$R$21,MATCH(E17,Data!$Q$2:$Q$21,0)),9999)^2.63*IFERROR(INDEX(Data!$S$2:$S$21,MATCH(E17,Data!$Q$2:$Q$21,0)),141)))^1.852*100)/1000))</f>
        <v>0.127492579569687</v>
      </c>
      <c r="J17" s="92" t="n">
        <v>1</v>
      </c>
      <c r="K17" s="81" t="n">
        <f aca="false">IF(AND(I17="",H17=""),"",(J17*I17*H17))</f>
        <v>0.0637462897848437</v>
      </c>
      <c r="L17" s="82"/>
      <c r="M17" s="93" t="s">
        <v>54</v>
      </c>
      <c r="N17" s="93"/>
      <c r="P17" s="84"/>
      <c r="Q17" s="85"/>
      <c r="R17" s="3" t="n">
        <v>137</v>
      </c>
    </row>
    <row r="18" customFormat="false" ht="12.75" hidden="false" customHeight="true" outlineLevel="0" collapsed="false">
      <c r="A18" s="86" t="s">
        <v>55</v>
      </c>
      <c r="B18" s="86"/>
      <c r="C18" s="74"/>
      <c r="D18" s="87" t="s">
        <v>50</v>
      </c>
      <c r="E18" s="87" t="n">
        <v>100</v>
      </c>
      <c r="F18" s="88" t="n">
        <f aca="false">R18*0.06309</f>
        <v>8.64333</v>
      </c>
      <c r="G18" s="89" t="n">
        <f aca="false">IF(E18="","",(F18/1000)/(PI()*(IFERROR(INDEX(Data!$R$2:$R$21,MATCH(E18,Data!$Q$2:$Q$21,0)),9999)/1000)^2/4))</f>
        <v>1.13889628819078</v>
      </c>
      <c r="H18" s="90" t="n">
        <f aca="false">IF((A18="90 R Bend"),(VLOOKUP(E18,Data!$A$2:$G$21,2)),IF((A18="Isolation Valve"),(VLOOKUP(E18,Data!$A$2:$G$21,3)),IF((A18="Non Return Valve"),(VLOOKUP(E18,Data!$A$2:$G$21,7)),IF((A18="Tee - Line"),(VLOOKUP(E18,Data!$A$2:$G$21,4)),IF((A18="Tee - Branch"),(VLOOKUP(E18,Data!$A$2:$G$21,5)),IF((A18="Reducer"),(VLOOKUP(E18,Data!$A$2:$G$21,6)),""))))))</f>
        <v>2.44</v>
      </c>
      <c r="I18" s="91" t="n">
        <f aca="false">IF(E18="","",((((3350000*F18)/(IFERROR(INDEX(Data!$R$2:$R$21,MATCH(E18,Data!$Q$2:$Q$21,0)),9999)^2.63*IFERROR(INDEX(Data!$S$2:$S$21,MATCH(E18,Data!$Q$2:$Q$21,0)),141)))^1.852*100)/1000))</f>
        <v>0.127492579569687</v>
      </c>
      <c r="J18" s="92" t="n">
        <v>1</v>
      </c>
      <c r="K18" s="81" t="n">
        <f aca="false">IF(AND(I18="",H18=""),"",(J18*I18*H18))</f>
        <v>0.311081894150037</v>
      </c>
      <c r="L18" s="82"/>
      <c r="M18" s="83" t="s">
        <v>53</v>
      </c>
      <c r="N18" s="83"/>
      <c r="P18" s="84"/>
      <c r="Q18" s="85"/>
      <c r="R18" s="3" t="n">
        <v>137</v>
      </c>
    </row>
    <row r="19" customFormat="false" ht="12.75" hidden="false" customHeight="true" outlineLevel="0" collapsed="false">
      <c r="A19" s="86" t="s">
        <v>49</v>
      </c>
      <c r="B19" s="86"/>
      <c r="C19" s="74"/>
      <c r="D19" s="87" t="s">
        <v>50</v>
      </c>
      <c r="E19" s="87" t="n">
        <v>100</v>
      </c>
      <c r="F19" s="88" t="n">
        <f aca="false">R19*0.06309</f>
        <v>8.64333</v>
      </c>
      <c r="G19" s="89" t="n">
        <f aca="false">IF(E19="","",(F19/1000)/(PI()*(IFERROR(INDEX(Data!$R$2:$R$21,MATCH(E19,Data!$Q$2:$Q$21,0)),9999)/1000)^2/4))</f>
        <v>1.13889628819078</v>
      </c>
      <c r="H19" s="90" t="n">
        <v>2</v>
      </c>
      <c r="I19" s="91" t="n">
        <f aca="false">IF(E19="","",((((3350000*F19)/(IFERROR(INDEX(Data!$R$2:$R$21,MATCH(E19,Data!$Q$2:$Q$21,0)),9999)^2.63*IFERROR(INDEX(Data!$S$2:$S$21,MATCH(E19,Data!$Q$2:$Q$21,0)),141)))^1.852*100)/1000))</f>
        <v>0.127492579569687</v>
      </c>
      <c r="J19" s="92" t="n">
        <v>1</v>
      </c>
      <c r="K19" s="81" t="n">
        <f aca="false">IF(AND(I19="",H19=""),"",(J19*I19*H19))</f>
        <v>0.254985159139375</v>
      </c>
      <c r="L19" s="82"/>
      <c r="M19" s="83" t="s">
        <v>56</v>
      </c>
      <c r="N19" s="83"/>
      <c r="P19" s="84"/>
      <c r="Q19" s="85"/>
      <c r="R19" s="3" t="n">
        <v>137</v>
      </c>
    </row>
    <row r="20" customFormat="false" ht="12.75" hidden="false" customHeight="true" outlineLevel="0" collapsed="false">
      <c r="A20" s="94" t="s">
        <v>57</v>
      </c>
      <c r="B20" s="94"/>
      <c r="C20" s="74" t="s">
        <v>58</v>
      </c>
      <c r="D20" s="95" t="s">
        <v>50</v>
      </c>
      <c r="E20" s="87" t="n">
        <v>100</v>
      </c>
      <c r="F20" s="88" t="n">
        <f aca="false">R20*0.06309</f>
        <v>8.64333</v>
      </c>
      <c r="G20" s="89" t="n">
        <f aca="false">IF(E20="","",(F20/1000)/(PI()*(IFERROR(INDEX(Data!$R$2:$R$21,MATCH(E20,Data!$Q$2:$Q$21,0)),9999)/1000)^2/4))</f>
        <v>1.13889628819078</v>
      </c>
      <c r="H20" s="90" t="n">
        <f aca="false">IF((A20="90 R Bend"),(VLOOKUP(E20,Data!$A$2:$G$21,2)),IF((A20="Isolation Valve"),(VLOOKUP(E20,Data!$A$2:$G$21,3)),IF((A20="Non Return Valve"),(VLOOKUP(E20,Data!$A$2:$G$21,7)),IF((A20="Tee - Line"),(VLOOKUP(E20,Data!$A$2:$G$21,4)),IF((A20="Tee - Branch"),(VLOOKUP(E20,Data!$A$2:$G$21,5)),IF((A20="Reducer"),(VLOOKUP(E20,Data!$A$2:$G$21,6)),""))))))</f>
        <v>1.37</v>
      </c>
      <c r="I20" s="91" t="n">
        <f aca="false">IF(E20="","",((((3350000*F20)/(IFERROR(INDEX(Data!$R$2:$R$21,MATCH(E20,Data!$Q$2:$Q$21,0)),9999)^2.63*IFERROR(INDEX(Data!$S$2:$S$21,MATCH(E20,Data!$Q$2:$Q$21,0)),141)))^1.852*100)/1000))</f>
        <v>0.127492579569687</v>
      </c>
      <c r="J20" s="92" t="n">
        <v>1</v>
      </c>
      <c r="K20" s="81" t="n">
        <f aca="false">IF(AND(I20="",H20=""),"",(J20*I20*H20))</f>
        <v>0.174664834010472</v>
      </c>
      <c r="L20" s="82"/>
      <c r="M20" s="83" t="s">
        <v>59</v>
      </c>
      <c r="N20" s="83"/>
      <c r="P20" s="84"/>
      <c r="Q20" s="85"/>
      <c r="R20" s="3" t="n">
        <v>137</v>
      </c>
    </row>
    <row r="21" customFormat="false" ht="12.75" hidden="false" customHeight="true" outlineLevel="0" collapsed="false">
      <c r="A21" s="94" t="s">
        <v>60</v>
      </c>
      <c r="B21" s="94"/>
      <c r="C21" s="74"/>
      <c r="D21" s="95" t="s">
        <v>50</v>
      </c>
      <c r="E21" s="87" t="n">
        <v>100</v>
      </c>
      <c r="F21" s="88" t="n">
        <f aca="false">R21*0.06309</f>
        <v>8.64333</v>
      </c>
      <c r="G21" s="89" t="n">
        <f aca="false">IF(E21="","",(F21/1000)/(PI()*(IFERROR(INDEX(Data!$R$2:$R$21,MATCH(E21,Data!$Q$2:$Q$21,0)),9999)/1000)^2/4))</f>
        <v>1.13889628819078</v>
      </c>
      <c r="H21" s="90" t="str">
        <f aca="false">IF((A21="90 R Bend"),(VLOOKUP(E21,Data!$A$2:$G$21,2)),IF((A21="Isolation Valve"),(VLOOKUP(E21,Data!$A$2:$G$21,3)),IF((A21="Non Return Valve"),(VLOOKUP(E21,Data!$A$2:$G$21,7)),IF((A21="Tee - Line"),(VLOOKUP(E21,Data!$A$2:$G$21,4)),IF((A21="Tee - Branch"),(VLOOKUP(E21,Data!$A$2:$G$21,5)),IF((A21="Reducer"),(VLOOKUP(E21,Data!$A$2:$G$21,6)),""))))))</f>
        <v/>
      </c>
      <c r="I21" s="91" t="n">
        <f aca="false">IF(E21="","",((((3350000*F21)/(IFERROR(INDEX(Data!$R$2:$R$21,MATCH(E21,Data!$Q$2:$Q$21,0)),9999)^2.63*IFERROR(INDEX(Data!$S$2:$S$21,MATCH(E21,Data!$Q$2:$Q$21,0)),141)))^1.852*100)/1000))</f>
        <v>0.127492579569687</v>
      </c>
      <c r="J21" s="92" t="n">
        <v>1</v>
      </c>
      <c r="K21" s="96" t="n">
        <v>15</v>
      </c>
      <c r="L21" s="82"/>
      <c r="M21" s="83" t="s">
        <v>61</v>
      </c>
      <c r="N21" s="83"/>
      <c r="P21" s="84"/>
      <c r="Q21" s="85"/>
      <c r="R21" s="3" t="n">
        <v>137</v>
      </c>
    </row>
    <row r="22" customFormat="false" ht="12.75" hidden="false" customHeight="true" outlineLevel="0" collapsed="false">
      <c r="A22" s="94" t="s">
        <v>49</v>
      </c>
      <c r="B22" s="94"/>
      <c r="C22" s="74"/>
      <c r="D22" s="95" t="s">
        <v>50</v>
      </c>
      <c r="E22" s="87" t="n">
        <v>100</v>
      </c>
      <c r="F22" s="88" t="n">
        <f aca="false">R22*0.06309</f>
        <v>8.64333</v>
      </c>
      <c r="G22" s="89" t="n">
        <f aca="false">IF(E22="","",(F22/1000)/(PI()*(IFERROR(INDEX(Data!$R$2:$R$21,MATCH(E22,Data!$Q$2:$Q$21,0)),9999)/1000)^2/4))</f>
        <v>1.13889628819078</v>
      </c>
      <c r="H22" s="90" t="n">
        <v>5</v>
      </c>
      <c r="I22" s="91" t="n">
        <f aca="false">IF(E22="","",((((3350000*F22)/(IFERROR(INDEX(Data!$R$2:$R$21,MATCH(E22,Data!$Q$2:$Q$21,0)),9999)^2.63*IFERROR(INDEX(Data!$S$2:$S$21,MATCH(E22,Data!$Q$2:$Q$21,0)),141)))^1.852*100)/1000))</f>
        <v>0.127492579569687</v>
      </c>
      <c r="J22" s="92" t="n">
        <v>1</v>
      </c>
      <c r="K22" s="81" t="n">
        <f aca="false">IF(AND(I22="",H22=""),"",(J22*I22*H22))</f>
        <v>0.637462897848437</v>
      </c>
      <c r="L22" s="82"/>
      <c r="M22" s="83" t="s">
        <v>62</v>
      </c>
      <c r="N22" s="83"/>
      <c r="P22" s="84"/>
      <c r="Q22" s="85"/>
      <c r="R22" s="3" t="n">
        <v>137</v>
      </c>
    </row>
    <row r="23" customFormat="false" ht="12.75" hidden="false" customHeight="true" outlineLevel="0" collapsed="false">
      <c r="A23" s="94" t="s">
        <v>63</v>
      </c>
      <c r="B23" s="94"/>
      <c r="C23" s="74"/>
      <c r="D23" s="95" t="s">
        <v>50</v>
      </c>
      <c r="E23" s="87" t="n">
        <v>100</v>
      </c>
      <c r="F23" s="88" t="n">
        <f aca="false">R23*0.06309</f>
        <v>8.64333</v>
      </c>
      <c r="G23" s="89" t="n">
        <f aca="false">IF(E23="","",(F23/1000)/(PI()*(IFERROR(INDEX(Data!$R$2:$R$21,MATCH(E23,Data!$Q$2:$Q$21,0)),9999)/1000)^2/4))</f>
        <v>1.13889628819078</v>
      </c>
      <c r="H23" s="90" t="n">
        <f aca="false">IF((A23="90 R Bend"),(VLOOKUP(E23,Data!$A$2:$G$21,2)),IF((A23="Isolation Valve"),(VLOOKUP(E23,Data!$A$2:$G$21,3)),IF((A23="Non Return Valve"),(VLOOKUP(E23,Data!$A$2:$G$21,7)),IF((A23="Tee - Line"),(VLOOKUP(E23,Data!$A$2:$G$21,4)),IF((A23="Tee - Branch"),(VLOOKUP(E23,Data!$A$2:$G$21,5)),IF((A23="Reducer"),(VLOOKUP(E23,Data!$A$2:$G$21,6)),""))))))</f>
        <v>12.1</v>
      </c>
      <c r="I23" s="91" t="n">
        <f aca="false">IF(E23="","",((((3350000*F23)/(IFERROR(INDEX(Data!$R$2:$R$21,MATCH(E23,Data!$Q$2:$Q$21,0)),9999)^2.63*IFERROR(INDEX(Data!$S$2:$S$21,MATCH(E23,Data!$Q$2:$Q$21,0)),141)))^1.852*100)/1000))</f>
        <v>0.127492579569687</v>
      </c>
      <c r="J23" s="92" t="n">
        <v>1</v>
      </c>
      <c r="K23" s="81" t="n">
        <f aca="false">IF(AND(I23="",H23=""),"",(J23*I23*H23))</f>
        <v>1.54266021279322</v>
      </c>
      <c r="L23" s="82"/>
      <c r="M23" s="83" t="s">
        <v>64</v>
      </c>
      <c r="N23" s="83"/>
      <c r="P23" s="84"/>
      <c r="Q23" s="85"/>
      <c r="R23" s="3" t="n">
        <v>137</v>
      </c>
    </row>
    <row r="24" customFormat="false" ht="12.75" hidden="false" customHeight="true" outlineLevel="0" collapsed="false">
      <c r="A24" s="94" t="s">
        <v>57</v>
      </c>
      <c r="B24" s="94"/>
      <c r="C24" s="74"/>
      <c r="D24" s="95" t="s">
        <v>50</v>
      </c>
      <c r="E24" s="87" t="n">
        <v>100</v>
      </c>
      <c r="F24" s="88" t="n">
        <f aca="false">R24*0.06309</f>
        <v>8.64333</v>
      </c>
      <c r="G24" s="89" t="n">
        <f aca="false">IF(E24="","",(F24/1000)/(PI()*(IFERROR(INDEX(Data!$R$2:$R$21,MATCH(E24,Data!$Q$2:$Q$21,0)),9999)/1000)^2/4))</f>
        <v>1.13889628819078</v>
      </c>
      <c r="H24" s="90" t="n">
        <f aca="false">IF((A24="90 R Bend"),(VLOOKUP(E24,Data!$A$2:$G$21,2)),IF((A24="Isolation Valve"),(VLOOKUP(E24,Data!$A$2:$G$21,3)),IF((A24="Non Return Valve"),(VLOOKUP(E24,Data!$A$2:$G$21,7)),IF((A24="Tee - Line"),(VLOOKUP(E24,Data!$A$2:$G$21,4)),IF((A24="Tee - Branch"),(VLOOKUP(E24,Data!$A$2:$G$21,5)),IF((A24="Reducer"),(VLOOKUP(E24,Data!$A$2:$G$21,6)),""))))))</f>
        <v>1.37</v>
      </c>
      <c r="I24" s="91" t="n">
        <f aca="false">IF(E24="","",((((3350000*F24)/(IFERROR(INDEX(Data!$R$2:$R$21,MATCH(E24,Data!$Q$2:$Q$21,0)),9999)^2.63*IFERROR(INDEX(Data!$S$2:$S$21,MATCH(E24,Data!$Q$2:$Q$21,0)),141)))^1.852*100)/1000))</f>
        <v>0.127492579569687</v>
      </c>
      <c r="J24" s="92" t="n">
        <v>1</v>
      </c>
      <c r="K24" s="81" t="n">
        <f aca="false">IF(AND(I24="",H24=""),"",(J24*I24*H24))</f>
        <v>0.174664834010472</v>
      </c>
      <c r="L24" s="82"/>
      <c r="M24" s="83" t="s">
        <v>64</v>
      </c>
      <c r="N24" s="83"/>
      <c r="P24" s="84"/>
      <c r="Q24" s="85"/>
      <c r="R24" s="3" t="n">
        <v>137</v>
      </c>
    </row>
    <row r="25" customFormat="false" ht="12.75" hidden="false" customHeight="true" outlineLevel="0" collapsed="false">
      <c r="A25" s="86" t="s">
        <v>49</v>
      </c>
      <c r="B25" s="86"/>
      <c r="C25" s="97" t="s">
        <v>48</v>
      </c>
      <c r="D25" s="87" t="s">
        <v>50</v>
      </c>
      <c r="E25" s="87" t="n">
        <v>100</v>
      </c>
      <c r="F25" s="88" t="n">
        <f aca="false">R25*0.06309</f>
        <v>8.64333</v>
      </c>
      <c r="G25" s="89" t="n">
        <f aca="false">IF(E25="","",(F25/1000)/(PI()*(IFERROR(INDEX(Data!$R$2:$R$21,MATCH(E25,Data!$Q$2:$Q$21,0)),9999)/1000)^2/4))</f>
        <v>1.13889628819078</v>
      </c>
      <c r="H25" s="90" t="n">
        <v>0.5</v>
      </c>
      <c r="I25" s="91" t="n">
        <f aca="false">IF(E25="","",((((3350000*F25)/(IFERROR(INDEX(Data!$R$2:$R$21,MATCH(E25,Data!$Q$2:$Q$21,0)),9999)^2.63*IFERROR(INDEX(Data!$S$2:$S$21,MATCH(E25,Data!$Q$2:$Q$21,0)),141)))^1.852*100)/1000))</f>
        <v>0.127492579569687</v>
      </c>
      <c r="J25" s="92" t="n">
        <v>1</v>
      </c>
      <c r="K25" s="81" t="n">
        <f aca="false">IF(AND(I25="",H25=""),"",(J25*I25*H25))</f>
        <v>0.0637462897848437</v>
      </c>
      <c r="L25" s="82"/>
      <c r="M25" s="83" t="s">
        <v>65</v>
      </c>
      <c r="N25" s="83"/>
      <c r="P25" s="84"/>
      <c r="Q25" s="85"/>
      <c r="R25" s="3" t="n">
        <v>137</v>
      </c>
    </row>
    <row r="26" customFormat="false" ht="12.75" hidden="false" customHeight="true" outlineLevel="0" collapsed="false">
      <c r="A26" s="86" t="s">
        <v>52</v>
      </c>
      <c r="B26" s="86"/>
      <c r="C26" s="97"/>
      <c r="D26" s="87" t="s">
        <v>50</v>
      </c>
      <c r="E26" s="87" t="n">
        <v>100</v>
      </c>
      <c r="F26" s="88" t="n">
        <f aca="false">R26*0.06309</f>
        <v>8.64333</v>
      </c>
      <c r="G26" s="89" t="n">
        <f aca="false">IF(E26="","",(F26/1000)/(PI()*(IFERROR(INDEX(Data!$R$2:$R$21,MATCH(E26,Data!$Q$2:$Q$21,0)),9999)/1000)^2/4))</f>
        <v>1.13889628819078</v>
      </c>
      <c r="H26" s="90" t="n">
        <f aca="false">IF((A26="90 R Bend"),(VLOOKUP(E26,Data!$A$2:$G$21,2)),IF((A26="Isolation Valve"),(VLOOKUP(E26,Data!$A$2:$G$21,3)),IF((A26="Non Return Valve"),(VLOOKUP(E26,Data!$A$2:$G$21,7)),IF((A26="Tee - Line"),(VLOOKUP(E26,Data!$A$2:$G$21,4)),IF((A26="Tee - Branch"),(VLOOKUP(E26,Data!$A$2:$G$21,5)),IF((A26="Reducer"),(VLOOKUP(E26,Data!$A$2:$G$21,6)),""))))))</f>
        <v>2.06</v>
      </c>
      <c r="I26" s="91" t="n">
        <f aca="false">IF(E26="","",((((3350000*F26)/(IFERROR(INDEX(Data!$R$2:$R$21,MATCH(E26,Data!$Q$2:$Q$21,0)),9999)^2.63*IFERROR(INDEX(Data!$S$2:$S$21,MATCH(E26,Data!$Q$2:$Q$21,0)),141)))^1.852*100)/1000))</f>
        <v>0.127492579569687</v>
      </c>
      <c r="J26" s="92" t="n">
        <v>1</v>
      </c>
      <c r="K26" s="81" t="n">
        <f aca="false">IF(AND(I26="",H26=""),"",(J26*I26*H26))</f>
        <v>0.262634713913556</v>
      </c>
      <c r="L26" s="82"/>
      <c r="M26" s="83" t="s">
        <v>53</v>
      </c>
      <c r="N26" s="83"/>
      <c r="P26" s="84"/>
      <c r="Q26" s="85"/>
      <c r="R26" s="3" t="n">
        <v>137</v>
      </c>
    </row>
    <row r="27" customFormat="false" ht="12.75" hidden="false" customHeight="true" outlineLevel="0" collapsed="false">
      <c r="A27" s="86" t="s">
        <v>49</v>
      </c>
      <c r="B27" s="86"/>
      <c r="C27" s="97"/>
      <c r="D27" s="87" t="s">
        <v>50</v>
      </c>
      <c r="E27" s="87" t="n">
        <v>100</v>
      </c>
      <c r="F27" s="88" t="n">
        <f aca="false">R27*0.06309</f>
        <v>8.64333</v>
      </c>
      <c r="G27" s="89" t="n">
        <f aca="false">IF(E27="","",(F27/1000)/(PI()*(IFERROR(INDEX(Data!$R$2:$R$21,MATCH(E27,Data!$Q$2:$Q$21,0)),9999)/1000)^2/4))</f>
        <v>1.13889628819078</v>
      </c>
      <c r="H27" s="90" t="n">
        <v>1</v>
      </c>
      <c r="I27" s="91" t="n">
        <f aca="false">IF(E27="","",((((3350000*F27)/(IFERROR(INDEX(Data!$R$2:$R$21,MATCH(E27,Data!$Q$2:$Q$21,0)),9999)^2.63*IFERROR(INDEX(Data!$S$2:$S$21,MATCH(E27,Data!$Q$2:$Q$21,0)),141)))^1.852*100)/1000))</f>
        <v>0.127492579569687</v>
      </c>
      <c r="J27" s="92" t="n">
        <v>1</v>
      </c>
      <c r="K27" s="81" t="n">
        <f aca="false">IF(AND(I27="",H27=""),"",(J27*I27*H27))</f>
        <v>0.127492579569687</v>
      </c>
      <c r="L27" s="82"/>
      <c r="M27" s="93" t="s">
        <v>66</v>
      </c>
      <c r="N27" s="93"/>
      <c r="P27" s="84"/>
      <c r="Q27" s="85"/>
      <c r="R27" s="3" t="n">
        <v>137</v>
      </c>
    </row>
    <row r="28" customFormat="false" ht="12.75" hidden="false" customHeight="true" outlineLevel="0" collapsed="false">
      <c r="A28" s="86" t="s">
        <v>52</v>
      </c>
      <c r="B28" s="86"/>
      <c r="C28" s="97"/>
      <c r="D28" s="87" t="s">
        <v>50</v>
      </c>
      <c r="E28" s="87" t="n">
        <v>100</v>
      </c>
      <c r="F28" s="88" t="n">
        <f aca="false">R28*0.06309</f>
        <v>8.64333</v>
      </c>
      <c r="G28" s="89" t="n">
        <f aca="false">IF(E28="","",(F28/1000)/(PI()*(IFERROR(INDEX(Data!$R$2:$R$21,MATCH(E28,Data!$Q$2:$Q$21,0)),9999)/1000)^2/4))</f>
        <v>1.13889628819078</v>
      </c>
      <c r="H28" s="90" t="n">
        <f aca="false">IF((A28="90 R Bend"),(VLOOKUP(E28,Data!$A$2:$G$21,2)),IF((A28="Isolation Valve"),(VLOOKUP(E28,Data!$A$2:$G$21,3)),IF((A28="Non Return Valve"),(VLOOKUP(E28,Data!$A$2:$G$21,7)),IF((A28="Tee - Line"),(VLOOKUP(E28,Data!$A$2:$G$21,4)),IF((A28="Tee - Branch"),(VLOOKUP(E28,Data!$A$2:$G$21,5)),IF((A28="Reducer"),(VLOOKUP(E28,Data!$A$2:$G$21,6)),""))))))</f>
        <v>2.06</v>
      </c>
      <c r="I28" s="91" t="n">
        <f aca="false">IF(E28="","",((((3350000*F28)/(IFERROR(INDEX(Data!$R$2:$R$21,MATCH(E28,Data!$Q$2:$Q$21,0)),9999)^2.63*IFERROR(INDEX(Data!$S$2:$S$21,MATCH(E28,Data!$Q$2:$Q$21,0)),141)))^1.852*100)/1000))</f>
        <v>0.127492579569687</v>
      </c>
      <c r="J28" s="92" t="n">
        <v>1</v>
      </c>
      <c r="K28" s="81" t="n">
        <f aca="false">IF(AND(I28="",H28=""),"",(J28*I28*H28))</f>
        <v>0.262634713913556</v>
      </c>
      <c r="L28" s="82"/>
      <c r="M28" s="83" t="s">
        <v>53</v>
      </c>
      <c r="N28" s="83"/>
      <c r="P28" s="84"/>
      <c r="Q28" s="85"/>
      <c r="R28" s="3" t="n">
        <v>137</v>
      </c>
    </row>
    <row r="29" customFormat="false" ht="12.75" hidden="false" customHeight="true" outlineLevel="0" collapsed="false">
      <c r="A29" s="86" t="s">
        <v>49</v>
      </c>
      <c r="B29" s="86"/>
      <c r="C29" s="97"/>
      <c r="D29" s="87" t="s">
        <v>50</v>
      </c>
      <c r="E29" s="87" t="n">
        <v>100</v>
      </c>
      <c r="F29" s="88" t="n">
        <f aca="false">R29*0.06309</f>
        <v>8.64333</v>
      </c>
      <c r="G29" s="89" t="n">
        <f aca="false">IF(E29="","",(F29/1000)/(PI()*(IFERROR(INDEX(Data!$R$2:$R$21,MATCH(E29,Data!$Q$2:$Q$21,0)),9999)/1000)^2/4))</f>
        <v>1.13889628819078</v>
      </c>
      <c r="H29" s="90" t="n">
        <v>0.5</v>
      </c>
      <c r="I29" s="91" t="n">
        <f aca="false">IF(E29="","",((((3350000*F29)/(IFERROR(INDEX(Data!$R$2:$R$21,MATCH(E29,Data!$Q$2:$Q$21,0)),9999)^2.63*IFERROR(INDEX(Data!$S$2:$S$21,MATCH(E29,Data!$Q$2:$Q$21,0)),141)))^1.852*100)/1000))</f>
        <v>0.127492579569687</v>
      </c>
      <c r="J29" s="92" t="n">
        <v>1</v>
      </c>
      <c r="K29" s="81" t="n">
        <f aca="false">IF(AND(I29="",H29=""),"",(J29*I29*H29))</f>
        <v>0.0637462897848437</v>
      </c>
      <c r="L29" s="82"/>
      <c r="M29" s="93" t="s">
        <v>67</v>
      </c>
      <c r="N29" s="93"/>
      <c r="P29" s="84"/>
      <c r="Q29" s="85"/>
      <c r="R29" s="3" t="n">
        <v>137</v>
      </c>
    </row>
    <row r="30" customFormat="false" ht="12.75" hidden="false" customHeight="true" outlineLevel="0" collapsed="false">
      <c r="A30" s="86" t="s">
        <v>68</v>
      </c>
      <c r="B30" s="86"/>
      <c r="C30" s="97"/>
      <c r="D30" s="87" t="s">
        <v>50</v>
      </c>
      <c r="E30" s="87" t="n">
        <v>100</v>
      </c>
      <c r="F30" s="88" t="n">
        <f aca="false">R30*0.06309</f>
        <v>8.64333</v>
      </c>
      <c r="G30" s="89" t="n">
        <f aca="false">IF(E30="","",(F30/1000)/(PI()*(IFERROR(INDEX(Data!$R$2:$R$21,MATCH(E30,Data!$Q$2:$Q$21,0)),9999)/1000)^2/4))</f>
        <v>1.13889628819078</v>
      </c>
      <c r="H30" s="90" t="n">
        <f aca="false">IF((A30="90 R Bend"),(VLOOKUP(E30,Data!$A$2:$G$21,2)),IF((A30="Isolation Valve"),(VLOOKUP(E30,Data!$A$2:$G$21,3)),IF((A30="Non Return Valve"),(VLOOKUP(E30,Data!$A$2:$G$21,7)),IF((A30="Tee - Line"),(VLOOKUP(E30,Data!$A$2:$G$21,4)),IF((A30="Tee - Branch"),(VLOOKUP(E30,Data!$A$2:$G$21,5)),IF((A30="Reducer"),(VLOOKUP(E30,Data!$A$2:$G$21,6)),""))))))</f>
        <v>6.4</v>
      </c>
      <c r="I30" s="91" t="n">
        <f aca="false">IF(E30="","",((((3350000*F30)/(IFERROR(INDEX(Data!$R$2:$R$21,MATCH(E30,Data!$Q$2:$Q$21,0)),9999)^2.63*IFERROR(INDEX(Data!$S$2:$S$21,MATCH(E30,Data!$Q$2:$Q$21,0)),141)))^1.852*100)/1000))</f>
        <v>0.127492579569687</v>
      </c>
      <c r="J30" s="92" t="n">
        <v>1</v>
      </c>
      <c r="K30" s="81" t="n">
        <f aca="false">IF(AND(I30="",H30=""),"",(J30*I30*H30))</f>
        <v>0.815952509246</v>
      </c>
      <c r="L30" s="82"/>
      <c r="M30" s="93" t="s">
        <v>69</v>
      </c>
      <c r="N30" s="93"/>
      <c r="P30" s="84"/>
      <c r="Q30" s="85"/>
      <c r="R30" s="3" t="n">
        <v>137</v>
      </c>
    </row>
    <row r="31" customFormat="false" ht="12.75" hidden="false" customHeight="true" outlineLevel="0" collapsed="false">
      <c r="A31" s="86" t="s">
        <v>49</v>
      </c>
      <c r="B31" s="86"/>
      <c r="C31" s="97"/>
      <c r="D31" s="87" t="s">
        <v>50</v>
      </c>
      <c r="E31" s="87" t="n">
        <v>100</v>
      </c>
      <c r="F31" s="88" t="n">
        <f aca="false">R31*0.06309</f>
        <v>8.64333</v>
      </c>
      <c r="G31" s="89" t="n">
        <f aca="false">IF(E31="","",(F31/1000)/(PI()*(IFERROR(INDEX(Data!$R$2:$R$21,MATCH(E31,Data!$Q$2:$Q$21,0)),9999)/1000)^2/4))</f>
        <v>1.13889628819078</v>
      </c>
      <c r="H31" s="90" t="n">
        <v>0.5</v>
      </c>
      <c r="I31" s="91" t="n">
        <f aca="false">IF(E31="","",((((3350000*F31)/(IFERROR(INDEX(Data!$R$2:$R$21,MATCH(E31,Data!$Q$2:$Q$21,0)),9999)^2.63*IFERROR(INDEX(Data!$S$2:$S$21,MATCH(E31,Data!$Q$2:$Q$21,0)),141)))^1.852*100)/1000))</f>
        <v>0.127492579569687</v>
      </c>
      <c r="J31" s="92" t="n">
        <v>1</v>
      </c>
      <c r="K31" s="81" t="n">
        <f aca="false">IF(AND(I31="",H31=""),"",(J31*I31*H31))</f>
        <v>0.0637462897848437</v>
      </c>
      <c r="L31" s="82"/>
      <c r="M31" s="93" t="s">
        <v>70</v>
      </c>
      <c r="N31" s="93"/>
      <c r="P31" s="84"/>
      <c r="Q31" s="85"/>
      <c r="R31" s="3" t="n">
        <v>137</v>
      </c>
    </row>
    <row r="32" customFormat="false" ht="12.75" hidden="false" customHeight="true" outlineLevel="0" collapsed="false">
      <c r="A32" s="86" t="s">
        <v>52</v>
      </c>
      <c r="B32" s="86"/>
      <c r="C32" s="97"/>
      <c r="D32" s="87" t="s">
        <v>50</v>
      </c>
      <c r="E32" s="87" t="n">
        <v>100</v>
      </c>
      <c r="F32" s="88" t="n">
        <f aca="false">R32*0.06309</f>
        <v>8.64333</v>
      </c>
      <c r="G32" s="89" t="n">
        <f aca="false">IF(E32="","",(F32/1000)/(PI()*(IFERROR(INDEX(Data!$R$2:$R$21,MATCH(E32,Data!$Q$2:$Q$21,0)),9999)/1000)^2/4))</f>
        <v>1.13889628819078</v>
      </c>
      <c r="H32" s="90" t="n">
        <f aca="false">IF((A32="90 R Bend"),(VLOOKUP(E32,Data!$A$2:$G$21,2)),IF((A32="Isolation Valve"),(VLOOKUP(E32,Data!$A$2:$G$21,3)),IF((A32="Non Return Valve"),(VLOOKUP(E32,Data!$A$2:$G$21,7)),IF((A32="Tee - Line"),(VLOOKUP(E32,Data!$A$2:$G$21,4)),IF((A32="Tee - Branch"),(VLOOKUP(E32,Data!$A$2:$G$21,5)),IF((A32="Reducer"),(VLOOKUP(E32,Data!$A$2:$G$21,6)),""))))))</f>
        <v>2.06</v>
      </c>
      <c r="I32" s="91" t="n">
        <f aca="false">IF(E32="","",((((3350000*F32)/(IFERROR(INDEX(Data!$R$2:$R$21,MATCH(E32,Data!$Q$2:$Q$21,0)),9999)^2.63*IFERROR(INDEX(Data!$S$2:$S$21,MATCH(E32,Data!$Q$2:$Q$21,0)),141)))^1.852*100)/1000))</f>
        <v>0.127492579569687</v>
      </c>
      <c r="J32" s="92" t="n">
        <v>1</v>
      </c>
      <c r="K32" s="81" t="n">
        <f aca="false">IF(AND(I32="",H32=""),"",(J32*I32*H32))</f>
        <v>0.262634713913556</v>
      </c>
      <c r="L32" s="82"/>
      <c r="M32" s="93" t="s">
        <v>53</v>
      </c>
      <c r="N32" s="93"/>
      <c r="P32" s="84"/>
      <c r="Q32" s="85"/>
      <c r="R32" s="3" t="n">
        <v>137</v>
      </c>
    </row>
    <row r="33" customFormat="false" ht="12.75" hidden="false" customHeight="true" outlineLevel="0" collapsed="false">
      <c r="A33" s="86" t="s">
        <v>49</v>
      </c>
      <c r="B33" s="86"/>
      <c r="C33" s="97"/>
      <c r="D33" s="87" t="s">
        <v>50</v>
      </c>
      <c r="E33" s="87" t="n">
        <v>100</v>
      </c>
      <c r="F33" s="88" t="n">
        <f aca="false">R33*0.06309</f>
        <v>8.64333</v>
      </c>
      <c r="G33" s="89" t="n">
        <f aca="false">IF(E33="","",(F33/1000)/(PI()*(IFERROR(INDEX(Data!$R$2:$R$21,MATCH(E33,Data!$Q$2:$Q$21,0)),9999)/1000)^2/4))</f>
        <v>1.13889628819078</v>
      </c>
      <c r="H33" s="90" t="n">
        <v>0.5</v>
      </c>
      <c r="I33" s="91" t="n">
        <f aca="false">IF(E33="","",((((3350000*F33)/(IFERROR(INDEX(Data!$R$2:$R$21,MATCH(E33,Data!$Q$2:$Q$21,0)),9999)^2.63*IFERROR(INDEX(Data!$S$2:$S$21,MATCH(E33,Data!$Q$2:$Q$21,0)),141)))^1.852*100)/1000))</f>
        <v>0.127492579569687</v>
      </c>
      <c r="J33" s="92" t="n">
        <v>1</v>
      </c>
      <c r="K33" s="81" t="n">
        <f aca="false">IF(AND(I33="",H33=""),"",(J33*I33*H33))</f>
        <v>0.0637462897848437</v>
      </c>
      <c r="L33" s="82"/>
      <c r="M33" s="93" t="s">
        <v>54</v>
      </c>
      <c r="N33" s="93"/>
      <c r="P33" s="84"/>
      <c r="Q33" s="85"/>
      <c r="R33" s="3" t="n">
        <v>137</v>
      </c>
    </row>
    <row r="34" customFormat="false" ht="12.75" hidden="false" customHeight="true" outlineLevel="0" collapsed="false">
      <c r="A34" s="86" t="s">
        <v>71</v>
      </c>
      <c r="B34" s="86"/>
      <c r="C34" s="97"/>
      <c r="D34" s="87" t="s">
        <v>50</v>
      </c>
      <c r="E34" s="87" t="n">
        <v>100</v>
      </c>
      <c r="F34" s="88" t="n">
        <f aca="false">R34*0.06309</f>
        <v>8.64333</v>
      </c>
      <c r="G34" s="89" t="n">
        <f aca="false">IF(E34="","",(F34/1000)/(PI()*(IFERROR(INDEX(Data!$R$2:$R$21,MATCH(E34,Data!$Q$2:$Q$21,0)),9999)/1000)^2/4))</f>
        <v>1.13889628819078</v>
      </c>
      <c r="H34" s="90" t="str">
        <f aca="false">IF((A34="90 R Bend"),(VLOOKUP(E34,Data!$A$2:$G$21,2)),IF((A34="Isolation Valve"),(VLOOKUP(E34,Data!$A$2:$G$21,3)),IF((A34="Non Return Valve"),(VLOOKUP(E34,Data!$A$2:$G$21,7)),IF((A34="Tee - Line"),(VLOOKUP(E34,Data!$A$2:$G$21,4)),IF((A34="Tee - Branch"),(VLOOKUP(E34,Data!$A$2:$G$21,5)),IF((A34="Reducer"),(VLOOKUP(E34,Data!$A$2:$G$21,6)),""))))))</f>
        <v/>
      </c>
      <c r="I34" s="91" t="n">
        <f aca="false">IF(E34="","",((((3350000*F34)/(IFERROR(INDEX(Data!$R$2:$R$21,MATCH(E34,Data!$Q$2:$Q$21,0)),9999)^2.63*IFERROR(INDEX(Data!$S$2:$S$21,MATCH(E34,Data!$Q$2:$Q$21,0)),141)))^1.852*100)/1000))</f>
        <v>0.127492579569687</v>
      </c>
      <c r="J34" s="92" t="n">
        <v>1</v>
      </c>
      <c r="K34" s="96" t="n">
        <v>5</v>
      </c>
      <c r="L34" s="82"/>
      <c r="M34" s="83" t="s">
        <v>72</v>
      </c>
      <c r="N34" s="83"/>
      <c r="P34" s="84"/>
      <c r="Q34" s="85"/>
      <c r="R34" s="3" t="n">
        <v>137</v>
      </c>
    </row>
    <row r="35" customFormat="false" ht="12.75" hidden="false" customHeight="true" outlineLevel="0" collapsed="false">
      <c r="A35" s="86" t="s">
        <v>49</v>
      </c>
      <c r="B35" s="86"/>
      <c r="C35" s="97"/>
      <c r="D35" s="87" t="s">
        <v>50</v>
      </c>
      <c r="E35" s="87" t="n">
        <v>100</v>
      </c>
      <c r="F35" s="88" t="n">
        <f aca="false">R35*0.06309</f>
        <v>8.64333</v>
      </c>
      <c r="G35" s="89" t="n">
        <f aca="false">IF(E35="","",(F35/1000)/(PI()*(IFERROR(INDEX(Data!$R$2:$R$21,MATCH(E35,Data!$Q$2:$Q$21,0)),9999)/1000)^2/4))</f>
        <v>1.13889628819078</v>
      </c>
      <c r="H35" s="90" t="n">
        <v>3.3</v>
      </c>
      <c r="I35" s="91" t="n">
        <f aca="false">IF(E35="","",((((3350000*F35)/(IFERROR(INDEX(Data!$R$2:$R$21,MATCH(E35,Data!$Q$2:$Q$21,0)),9999)^2.63*IFERROR(INDEX(Data!$S$2:$S$21,MATCH(E35,Data!$Q$2:$Q$21,0)),141)))^1.852*100)/1000))</f>
        <v>0.127492579569687</v>
      </c>
      <c r="J35" s="92" t="n">
        <v>1</v>
      </c>
      <c r="K35" s="81" t="n">
        <f aca="false">IF(AND(I35="",H35=""),"",(J35*I35*H35))</f>
        <v>0.420725512579969</v>
      </c>
      <c r="L35" s="82"/>
      <c r="M35" s="93" t="s">
        <v>73</v>
      </c>
      <c r="N35" s="93"/>
      <c r="P35" s="84"/>
      <c r="Q35" s="85"/>
      <c r="R35" s="3" t="n">
        <v>137</v>
      </c>
    </row>
    <row r="36" customFormat="false" ht="12.75" hidden="false" customHeight="true" outlineLevel="0" collapsed="false">
      <c r="A36" s="86" t="s">
        <v>68</v>
      </c>
      <c r="B36" s="86"/>
      <c r="C36" s="97"/>
      <c r="D36" s="87" t="s">
        <v>50</v>
      </c>
      <c r="E36" s="87" t="n">
        <v>100</v>
      </c>
      <c r="F36" s="88" t="n">
        <f aca="false">R36*0.06309</f>
        <v>8.64333</v>
      </c>
      <c r="G36" s="89" t="n">
        <f aca="false">IF(E36="","",(F36/1000)/(PI()*(IFERROR(INDEX(Data!$R$2:$R$21,MATCH(E36,Data!$Q$2:$Q$21,0)),9999)/1000)^2/4))</f>
        <v>1.13889628819078</v>
      </c>
      <c r="H36" s="90" t="n">
        <f aca="false">IF((A36="90 R Bend"),(VLOOKUP(E36,Data!$A$2:$G$21,2)),IF((A36="Isolation Valve"),(VLOOKUP(E36,Data!$A$2:$G$21,3)),IF((A36="Non Return Valve"),(VLOOKUP(E36,Data!$A$2:$G$21,7)),IF((A36="Tee - Line"),(VLOOKUP(E36,Data!$A$2:$G$21,4)),IF((A36="Tee - Branch"),(VLOOKUP(E36,Data!$A$2:$G$21,5)),IF((A36="Reducer"),(VLOOKUP(E36,Data!$A$2:$G$21,6)),""))))))</f>
        <v>6.4</v>
      </c>
      <c r="I36" s="91" t="n">
        <f aca="false">IF(E36="","",((((3350000*F36)/(IFERROR(INDEX(Data!$R$2:$R$21,MATCH(E36,Data!$Q$2:$Q$21,0)),9999)^2.63*IFERROR(INDEX(Data!$S$2:$S$21,MATCH(E36,Data!$Q$2:$Q$21,0)),141)))^1.852*100)/1000))</f>
        <v>0.127492579569687</v>
      </c>
      <c r="J36" s="92" t="n">
        <v>1</v>
      </c>
      <c r="K36" s="81" t="n">
        <f aca="false">IF(AND(I36="",H36=""),"",(J36*I36*H36))</f>
        <v>0.815952509246</v>
      </c>
      <c r="L36" s="82"/>
      <c r="M36" s="93" t="s">
        <v>69</v>
      </c>
      <c r="N36" s="93"/>
      <c r="P36" s="84"/>
      <c r="Q36" s="85"/>
      <c r="R36" s="3" t="n">
        <v>137</v>
      </c>
    </row>
    <row r="37" customFormat="false" ht="12.75" hidden="false" customHeight="true" outlineLevel="0" collapsed="false">
      <c r="A37" s="86" t="s">
        <v>49</v>
      </c>
      <c r="B37" s="86"/>
      <c r="C37" s="74" t="s">
        <v>74</v>
      </c>
      <c r="D37" s="87" t="s">
        <v>50</v>
      </c>
      <c r="E37" s="87" t="n">
        <v>100</v>
      </c>
      <c r="F37" s="88" t="n">
        <f aca="false">R37*0.06309</f>
        <v>14.88924</v>
      </c>
      <c r="G37" s="89" t="n">
        <f aca="false">IF(E37="","",(F37/1000)/(PI()*(IFERROR(INDEX(Data!$R$2:$R$21,MATCH(E37,Data!$Q$2:$Q$21,0)),9999)/1000)^2/4))</f>
        <v>1.96189433586148</v>
      </c>
      <c r="H37" s="90" t="n">
        <v>3.4</v>
      </c>
      <c r="I37" s="91" t="n">
        <f aca="false">IF(E37="","",((((3350000*F37)/(IFERROR(INDEX(Data!$R$2:$R$21,MATCH(E37,Data!$Q$2:$Q$21,0)),9999)^2.63*IFERROR(INDEX(Data!$S$2:$S$21,MATCH(E37,Data!$Q$2:$Q$21,0)),141)))^1.852*100)/1000))</f>
        <v>0.349069133109781</v>
      </c>
      <c r="J37" s="92" t="n">
        <v>1</v>
      </c>
      <c r="K37" s="81" t="n">
        <f aca="false">IF(AND(I37="",H37=""),"",(J37*I37*H37))</f>
        <v>1.18683505257326</v>
      </c>
      <c r="L37" s="82"/>
      <c r="M37" s="93" t="s">
        <v>75</v>
      </c>
      <c r="N37" s="93"/>
      <c r="P37" s="84"/>
      <c r="Q37" s="85"/>
      <c r="R37" s="3" t="n">
        <v>236</v>
      </c>
    </row>
    <row r="38" customFormat="false" ht="12.75" hidden="false" customHeight="true" outlineLevel="0" collapsed="false">
      <c r="A38" s="86" t="s">
        <v>52</v>
      </c>
      <c r="B38" s="86"/>
      <c r="C38" s="74"/>
      <c r="D38" s="87" t="s">
        <v>50</v>
      </c>
      <c r="E38" s="87" t="n">
        <v>100</v>
      </c>
      <c r="F38" s="88" t="n">
        <f aca="false">R38*0.06309</f>
        <v>14.88924</v>
      </c>
      <c r="G38" s="89" t="n">
        <f aca="false">IF(E38="","",(F38/1000)/(PI()*(IFERROR(INDEX(Data!$R$2:$R$21,MATCH(E38,Data!$Q$2:$Q$21,0)),9999)/1000)^2/4))</f>
        <v>1.96189433586148</v>
      </c>
      <c r="H38" s="90" t="n">
        <f aca="false">IF((A38="90 R Bend"),(VLOOKUP(E38,Data!$A$2:$G$21,2)),IF((A38="Isolation Valve"),(VLOOKUP(E38,Data!$A$2:$G$21,3)),IF((A38="Non Return Valve"),(VLOOKUP(E38,Data!$A$2:$G$21,7)),IF((A38="Tee - Line"),(VLOOKUP(E38,Data!$A$2:$G$21,4)),IF((A38="Tee - Branch"),(VLOOKUP(E38,Data!$A$2:$G$21,5)),IF((A38="Reducer"),(VLOOKUP(E38,Data!$A$2:$G$21,6)),""))))))</f>
        <v>2.06</v>
      </c>
      <c r="I38" s="91" t="n">
        <f aca="false">IF(E38="","",((((3350000*F38)/(IFERROR(INDEX(Data!$R$2:$R$21,MATCH(E38,Data!$Q$2:$Q$21,0)),9999)^2.63*IFERROR(INDEX(Data!$S$2:$S$21,MATCH(E38,Data!$Q$2:$Q$21,0)),141)))^1.852*100)/1000))</f>
        <v>0.349069133109781</v>
      </c>
      <c r="J38" s="92" t="n">
        <v>1</v>
      </c>
      <c r="K38" s="81" t="n">
        <f aca="false">IF(AND(I38="",H38=""),"",(J38*I38*H38))</f>
        <v>0.719082414206149</v>
      </c>
      <c r="L38" s="82"/>
      <c r="M38" s="93" t="s">
        <v>76</v>
      </c>
      <c r="N38" s="93"/>
      <c r="P38" s="84"/>
      <c r="Q38" s="85"/>
      <c r="R38" s="3" t="n">
        <v>236</v>
      </c>
    </row>
    <row r="39" customFormat="false" ht="12.75" hidden="false" customHeight="true" outlineLevel="0" collapsed="false">
      <c r="A39" s="86" t="s">
        <v>49</v>
      </c>
      <c r="B39" s="86"/>
      <c r="C39" s="74"/>
      <c r="D39" s="87" t="s">
        <v>50</v>
      </c>
      <c r="E39" s="87" t="n">
        <v>100</v>
      </c>
      <c r="F39" s="88" t="n">
        <f aca="false">R39*0.06309</f>
        <v>14.88924</v>
      </c>
      <c r="G39" s="89" t="n">
        <f aca="false">IF(E39="","",(F39/1000)/(PI()*(IFERROR(INDEX(Data!$R$2:$R$21,MATCH(E39,Data!$Q$2:$Q$21,0)),9999)/1000)^2/4))</f>
        <v>1.96189433586148</v>
      </c>
      <c r="H39" s="90" t="n">
        <v>3.4</v>
      </c>
      <c r="I39" s="91" t="n">
        <f aca="false">IF(E39="","",((((3350000*F39)/(IFERROR(INDEX(Data!$R$2:$R$21,MATCH(E39,Data!$Q$2:$Q$21,0)),9999)^2.63*IFERROR(INDEX(Data!$S$2:$S$21,MATCH(E39,Data!$Q$2:$Q$21,0)),141)))^1.852*100)/1000))</f>
        <v>0.349069133109781</v>
      </c>
      <c r="J39" s="92" t="n">
        <v>1</v>
      </c>
      <c r="K39" s="81" t="n">
        <f aca="false">IF(AND(I39="",H39=""),"",(J39*I39*H39))</f>
        <v>1.18683505257326</v>
      </c>
      <c r="L39" s="82"/>
      <c r="M39" s="93" t="s">
        <v>77</v>
      </c>
      <c r="N39" s="93"/>
      <c r="P39" s="84"/>
      <c r="Q39" s="85"/>
      <c r="R39" s="3" t="n">
        <v>236</v>
      </c>
    </row>
    <row r="40" customFormat="false" ht="12.75" hidden="false" customHeight="true" outlineLevel="0" collapsed="false">
      <c r="A40" s="86" t="s">
        <v>52</v>
      </c>
      <c r="B40" s="86"/>
      <c r="C40" s="74"/>
      <c r="D40" s="87" t="s">
        <v>50</v>
      </c>
      <c r="E40" s="87" t="n">
        <v>100</v>
      </c>
      <c r="F40" s="88" t="n">
        <f aca="false">R40*0.06309</f>
        <v>14.88924</v>
      </c>
      <c r="G40" s="89" t="n">
        <f aca="false">IF(E40="","",(F40/1000)/(PI()*(IFERROR(INDEX(Data!$R$2:$R$21,MATCH(E40,Data!$Q$2:$Q$21,0)),9999)/1000)^2/4))</f>
        <v>1.96189433586148</v>
      </c>
      <c r="H40" s="90" t="n">
        <f aca="false">IF((A40="90 R Bend"),(VLOOKUP(E40,Data!$A$2:$G$21,2)),IF((A40="Isolation Valve"),(VLOOKUP(E40,Data!$A$2:$G$21,3)),IF((A40="Non Return Valve"),(VLOOKUP(E40,Data!$A$2:$G$21,7)),IF((A40="Tee - Line"),(VLOOKUP(E40,Data!$A$2:$G$21,4)),IF((A40="Tee - Branch"),(VLOOKUP(E40,Data!$A$2:$G$21,5)),IF((A40="Reducer"),(VLOOKUP(E40,Data!$A$2:$G$21,6)),""))))))</f>
        <v>2.06</v>
      </c>
      <c r="I40" s="91" t="n">
        <f aca="false">IF(E40="","",((((3350000*F40)/(IFERROR(INDEX(Data!$R$2:$R$21,MATCH(E40,Data!$Q$2:$Q$21,0)),9999)^2.63*IFERROR(INDEX(Data!$S$2:$S$21,MATCH(E40,Data!$Q$2:$Q$21,0)),141)))^1.852*100)/1000))</f>
        <v>0.349069133109781</v>
      </c>
      <c r="J40" s="92" t="n">
        <v>1</v>
      </c>
      <c r="K40" s="81" t="n">
        <f aca="false">IF(AND(I40="",H40=""),"",(J40*I40*H40))</f>
        <v>0.719082414206149</v>
      </c>
      <c r="L40" s="82"/>
      <c r="M40" s="93" t="s">
        <v>78</v>
      </c>
      <c r="N40" s="93"/>
      <c r="P40" s="84"/>
      <c r="Q40" s="85"/>
      <c r="R40" s="3" t="n">
        <v>236</v>
      </c>
    </row>
    <row r="41" customFormat="false" ht="12.75" hidden="false" customHeight="true" outlineLevel="0" collapsed="false">
      <c r="A41" s="86" t="s">
        <v>49</v>
      </c>
      <c r="B41" s="86"/>
      <c r="C41" s="74"/>
      <c r="D41" s="87" t="s">
        <v>50</v>
      </c>
      <c r="E41" s="87" t="n">
        <v>100</v>
      </c>
      <c r="F41" s="88" t="n">
        <f aca="false">R41*0.06309</f>
        <v>14.88924</v>
      </c>
      <c r="G41" s="89" t="n">
        <f aca="false">IF(E41="","",(F41/1000)/(PI()*(IFERROR(INDEX(Data!$R$2:$R$21,MATCH(E41,Data!$Q$2:$Q$21,0)),9999)/1000)^2/4))</f>
        <v>1.96189433586148</v>
      </c>
      <c r="H41" s="90" t="n">
        <v>7</v>
      </c>
      <c r="I41" s="91" t="n">
        <f aca="false">IF(E41="","",((((3350000*F41)/(IFERROR(INDEX(Data!$R$2:$R$21,MATCH(E41,Data!$Q$2:$Q$21,0)),9999)^2.63*IFERROR(INDEX(Data!$S$2:$S$21,MATCH(E41,Data!$Q$2:$Q$21,0)),141)))^1.852*100)/1000))</f>
        <v>0.349069133109781</v>
      </c>
      <c r="J41" s="92" t="n">
        <v>1</v>
      </c>
      <c r="K41" s="81" t="n">
        <f aca="false">IF(AND(I41="",H41=""),"",(J41*I41*H41))</f>
        <v>2.44348393176847</v>
      </c>
      <c r="L41" s="82"/>
      <c r="M41" s="93" t="s">
        <v>75</v>
      </c>
      <c r="N41" s="93"/>
      <c r="P41" s="84"/>
      <c r="Q41" s="85"/>
      <c r="R41" s="3" t="n">
        <v>236</v>
      </c>
    </row>
    <row r="42" customFormat="false" ht="12.75" hidden="false" customHeight="true" outlineLevel="0" collapsed="false">
      <c r="A42" s="86" t="s">
        <v>68</v>
      </c>
      <c r="B42" s="86"/>
      <c r="C42" s="74"/>
      <c r="D42" s="87" t="s">
        <v>50</v>
      </c>
      <c r="E42" s="87" t="n">
        <v>100</v>
      </c>
      <c r="F42" s="88" t="n">
        <f aca="false">R42*0.06309</f>
        <v>14.88924</v>
      </c>
      <c r="G42" s="89" t="n">
        <f aca="false">IF(E42="","",(F42/1000)/(PI()*(IFERROR(INDEX(Data!$R$2:$R$21,MATCH(E42,Data!$Q$2:$Q$21,0)),9999)/1000)^2/4))</f>
        <v>1.96189433586148</v>
      </c>
      <c r="H42" s="90" t="n">
        <f aca="false">IF((A42="90 R Bend"),(VLOOKUP(E42,Data!$A$2:$G$21,2)),IF((A42="Isolation Valve"),(VLOOKUP(E42,Data!$A$2:$G$21,3)),IF((A42="Non Return Valve"),(VLOOKUP(E42,Data!$A$2:$G$21,7)),IF((A42="Tee - Line"),(VLOOKUP(E42,Data!$A$2:$G$21,4)),IF((A42="Tee - Branch"),(VLOOKUP(E42,Data!$A$2:$G$21,5)),IF((A42="Reducer"),(VLOOKUP(E42,Data!$A$2:$G$21,6)),""))))))</f>
        <v>6.4</v>
      </c>
      <c r="I42" s="91" t="n">
        <f aca="false">IF(E42="","",((((3350000*F42)/(IFERROR(INDEX(Data!$R$2:$R$21,MATCH(E42,Data!$Q$2:$Q$21,0)),9999)^2.63*IFERROR(INDEX(Data!$S$2:$S$21,MATCH(E42,Data!$Q$2:$Q$21,0)),141)))^1.852*100)/1000))</f>
        <v>0.349069133109781</v>
      </c>
      <c r="J42" s="92" t="n">
        <v>1</v>
      </c>
      <c r="K42" s="81" t="n">
        <f aca="false">IF(AND(I42="",H42=""),"",(J42*I42*H42))</f>
        <v>2.2340424519026</v>
      </c>
      <c r="L42" s="82"/>
      <c r="M42" s="93" t="s">
        <v>79</v>
      </c>
      <c r="N42" s="93"/>
      <c r="P42" s="84"/>
      <c r="Q42" s="85"/>
      <c r="R42" s="3" t="n">
        <v>236</v>
      </c>
    </row>
    <row r="43" customFormat="false" ht="12.75" hidden="false" customHeight="true" outlineLevel="0" collapsed="false">
      <c r="A43" s="86" t="s">
        <v>49</v>
      </c>
      <c r="B43" s="86"/>
      <c r="C43" s="74"/>
      <c r="D43" s="87" t="s">
        <v>50</v>
      </c>
      <c r="E43" s="87" t="n">
        <v>100</v>
      </c>
      <c r="F43" s="88" t="n">
        <f aca="false">R43*0.06309</f>
        <v>14.88924</v>
      </c>
      <c r="G43" s="89" t="n">
        <f aca="false">IF(E43="","",(F43/1000)/(PI()*(IFERROR(INDEX(Data!$R$2:$R$21,MATCH(E43,Data!$Q$2:$Q$21,0)),9999)/1000)^2/4))</f>
        <v>1.96189433586148</v>
      </c>
      <c r="H43" s="90" t="n">
        <v>5</v>
      </c>
      <c r="I43" s="91" t="n">
        <f aca="false">IF(E43="","",((((3350000*F43)/(IFERROR(INDEX(Data!$R$2:$R$21,MATCH(E43,Data!$Q$2:$Q$21,0)),9999)^2.63*IFERROR(INDEX(Data!$S$2:$S$21,MATCH(E43,Data!$Q$2:$Q$21,0)),141)))^1.852*100)/1000))</f>
        <v>0.349069133109781</v>
      </c>
      <c r="J43" s="92" t="n">
        <v>1</v>
      </c>
      <c r="K43" s="81" t="n">
        <f aca="false">IF(AND(I43="",H43=""),"",(J43*I43*H43))</f>
        <v>1.74534566554891</v>
      </c>
      <c r="L43" s="82"/>
      <c r="M43" s="83" t="s">
        <v>56</v>
      </c>
      <c r="N43" s="83"/>
      <c r="P43" s="84"/>
      <c r="Q43" s="85"/>
      <c r="R43" s="3" t="n">
        <v>236</v>
      </c>
    </row>
    <row r="44" customFormat="false" ht="12.75" hidden="false" customHeight="true" outlineLevel="0" collapsed="false">
      <c r="A44" s="86" t="s">
        <v>68</v>
      </c>
      <c r="B44" s="86"/>
      <c r="C44" s="74"/>
      <c r="D44" s="87" t="s">
        <v>50</v>
      </c>
      <c r="E44" s="87" t="n">
        <v>100</v>
      </c>
      <c r="F44" s="88" t="n">
        <f aca="false">R44*0.06309</f>
        <v>5.6781</v>
      </c>
      <c r="G44" s="89" t="n">
        <f aca="false">IF(E44="","",(F44/1000)/(PI()*(IFERROR(INDEX(Data!$R$2:$R$21,MATCH(E44,Data!$Q$2:$Q$21,0)),9999)/1000)^2/4))</f>
        <v>0.748180043337007</v>
      </c>
      <c r="H44" s="90" t="n">
        <f aca="false">IF((A44="90 R Bend"),(VLOOKUP(E44,Data!$A$2:$G$21,2)),IF((A44="Isolation Valve"),(VLOOKUP(E44,Data!$A$2:$G$21,3)),IF((A44="Non Return Valve"),(VLOOKUP(E44,Data!$A$2:$G$21,7)),IF((A44="Tee - Line"),(VLOOKUP(E44,Data!$A$2:$G$21,4)),IF((A44="Tee - Branch"),(VLOOKUP(E44,Data!$A$2:$G$21,5)),IF((A44="Reducer"),(VLOOKUP(E44,Data!$A$2:$G$21,6)),""))))))</f>
        <v>6.4</v>
      </c>
      <c r="I44" s="91" t="n">
        <f aca="false">IF(E44="","",((((3350000*F44)/(IFERROR(INDEX(Data!$R$2:$R$21,MATCH(E44,Data!$Q$2:$Q$21,0)),9999)^2.63*IFERROR(INDEX(Data!$S$2:$S$21,MATCH(E44,Data!$Q$2:$Q$21,0)),141)))^1.852*100)/1000))</f>
        <v>0.0585511656382136</v>
      </c>
      <c r="J44" s="92" t="n">
        <v>1</v>
      </c>
      <c r="K44" s="81" t="n">
        <f aca="false">IF(AND(I44="",H44=""),"",(J44*I44*H44))</f>
        <v>0.374727460084567</v>
      </c>
      <c r="L44" s="82"/>
      <c r="M44" s="83" t="s">
        <v>65</v>
      </c>
      <c r="N44" s="83"/>
      <c r="P44" s="84"/>
      <c r="Q44" s="85"/>
      <c r="R44" s="3" t="n">
        <v>90</v>
      </c>
    </row>
    <row r="45" customFormat="false" ht="12.75" hidden="false" customHeight="true" outlineLevel="0" collapsed="false">
      <c r="A45" s="86" t="s">
        <v>49</v>
      </c>
      <c r="B45" s="86"/>
      <c r="C45" s="74" t="s">
        <v>80</v>
      </c>
      <c r="D45" s="87" t="s">
        <v>50</v>
      </c>
      <c r="E45" s="87" t="n">
        <v>80</v>
      </c>
      <c r="F45" s="88" t="n">
        <f aca="false">R45*0.06309</f>
        <v>5.6781</v>
      </c>
      <c r="G45" s="89" t="n">
        <f aca="false">IF(E45="","",(F45/1000)/(PI()*(IFERROR(INDEX(Data!$R$2:$R$21,MATCH(E45,Data!$Q$2:$Q$21,0)),9999)/1000)^2/4))</f>
        <v>1.36037329806333</v>
      </c>
      <c r="H45" s="90" t="n">
        <v>3</v>
      </c>
      <c r="I45" s="91" t="n">
        <f aca="false">IF(E45="","",((((3350000*F45)/(IFERROR(INDEX(Data!$R$2:$R$21,MATCH(E45,Data!$Q$2:$Q$21,0)),9999)^2.63*IFERROR(INDEX(Data!$S$2:$S$21,MATCH(E45,Data!$Q$2:$Q$21,0)),141)))^1.852*100)/1000))</f>
        <v>0.254340037450859</v>
      </c>
      <c r="J45" s="92" t="n">
        <v>2</v>
      </c>
      <c r="K45" s="81" t="n">
        <f aca="false">IF(AND(I45="",H45=""),"",(J45*I45*H45))</f>
        <v>1.52604022470515</v>
      </c>
      <c r="L45" s="82"/>
      <c r="M45" s="93" t="s">
        <v>81</v>
      </c>
      <c r="N45" s="93"/>
      <c r="P45" s="84"/>
      <c r="Q45" s="85"/>
      <c r="R45" s="3" t="n">
        <v>90</v>
      </c>
    </row>
    <row r="46" customFormat="false" ht="12.75" hidden="false" customHeight="true" outlineLevel="0" collapsed="false">
      <c r="A46" s="86" t="s">
        <v>52</v>
      </c>
      <c r="B46" s="86"/>
      <c r="C46" s="74"/>
      <c r="D46" s="87" t="s">
        <v>50</v>
      </c>
      <c r="E46" s="87" t="n">
        <v>80</v>
      </c>
      <c r="F46" s="88" t="n">
        <f aca="false">R46*0.06309</f>
        <v>5.6781</v>
      </c>
      <c r="G46" s="89" t="n">
        <f aca="false">IF(E46="","",(F46/1000)/(PI()*(IFERROR(INDEX(Data!$R$2:$R$21,MATCH(E46,Data!$Q$2:$Q$21,0)),9999)/1000)^2/4))</f>
        <v>1.36037329806333</v>
      </c>
      <c r="H46" s="90" t="n">
        <f aca="false">IF((A46="90 R Bend"),(VLOOKUP(E46,Data!$A$2:$G$21,2)),IF((A46="Isolation Valve"),(VLOOKUP(E46,Data!$A$2:$G$21,3)),IF((A46="Non Return Valve"),(VLOOKUP(E46,Data!$A$2:$G$21,7)),IF((A46="Tee - Line"),(VLOOKUP(E46,Data!$A$2:$G$21,4)),IF((A46="Tee - Branch"),(VLOOKUP(E46,Data!$A$2:$G$21,5)),IF((A46="Reducer"),(VLOOKUP(E46,Data!$A$2:$G$21,6)),""))))))</f>
        <v>1.52</v>
      </c>
      <c r="I46" s="91" t="n">
        <f aca="false">IF(E46="","",((((3350000*F46)/(IFERROR(INDEX(Data!$R$2:$R$21,MATCH(E46,Data!$Q$2:$Q$21,0)),9999)^2.63*IFERROR(INDEX(Data!$S$2:$S$21,MATCH(E46,Data!$Q$2:$Q$21,0)),141)))^1.852*100)/1000))</f>
        <v>0.254340037450859</v>
      </c>
      <c r="J46" s="92" t="n">
        <v>2</v>
      </c>
      <c r="K46" s="81" t="n">
        <f aca="false">IF(AND(I46="",H46=""),"",(J46*I46*H46))</f>
        <v>0.773193713850612</v>
      </c>
      <c r="L46" s="82"/>
      <c r="M46" s="93" t="s">
        <v>82</v>
      </c>
      <c r="N46" s="93"/>
      <c r="P46" s="84"/>
      <c r="Q46" s="85"/>
      <c r="R46" s="3" t="n">
        <v>90</v>
      </c>
    </row>
    <row r="47" customFormat="false" ht="12.75" hidden="false" customHeight="true" outlineLevel="0" collapsed="false">
      <c r="A47" s="86" t="s">
        <v>49</v>
      </c>
      <c r="B47" s="86"/>
      <c r="C47" s="74"/>
      <c r="D47" s="87" t="s">
        <v>50</v>
      </c>
      <c r="E47" s="87" t="n">
        <v>80</v>
      </c>
      <c r="F47" s="88" t="n">
        <f aca="false">R47*0.06309</f>
        <v>5.6781</v>
      </c>
      <c r="G47" s="89" t="n">
        <f aca="false">IF(E47="","",(F47/1000)/(PI()*(IFERROR(INDEX(Data!$R$2:$R$21,MATCH(E47,Data!$Q$2:$Q$21,0)),9999)/1000)^2/4))</f>
        <v>1.36037329806333</v>
      </c>
      <c r="H47" s="90" t="n">
        <v>7</v>
      </c>
      <c r="I47" s="91" t="n">
        <f aca="false">IF(E47="","",((((3350000*F47)/(IFERROR(INDEX(Data!$R$2:$R$21,MATCH(E47,Data!$Q$2:$Q$21,0)),9999)^2.63*IFERROR(INDEX(Data!$S$2:$S$21,MATCH(E47,Data!$Q$2:$Q$21,0)),141)))^1.852*100)/1000))</f>
        <v>0.254340037450859</v>
      </c>
      <c r="J47" s="92" t="n">
        <v>2</v>
      </c>
      <c r="K47" s="81" t="n">
        <f aca="false">IF(AND(I47="",H47=""),"",(J47*I47*H47))</f>
        <v>3.56076052431203</v>
      </c>
      <c r="L47" s="82"/>
      <c r="M47" s="93" t="s">
        <v>83</v>
      </c>
      <c r="N47" s="93"/>
      <c r="P47" s="84"/>
      <c r="Q47" s="85"/>
      <c r="R47" s="3" t="n">
        <v>90</v>
      </c>
    </row>
    <row r="48" customFormat="false" ht="12.75" hidden="false" customHeight="true" outlineLevel="0" collapsed="false">
      <c r="A48" s="86" t="s">
        <v>57</v>
      </c>
      <c r="B48" s="86"/>
      <c r="C48" s="74"/>
      <c r="D48" s="87" t="s">
        <v>50</v>
      </c>
      <c r="E48" s="87" t="n">
        <v>80</v>
      </c>
      <c r="F48" s="88" t="n">
        <f aca="false">R48*0.06309</f>
        <v>5.6781</v>
      </c>
      <c r="G48" s="89" t="n">
        <f aca="false">IF(E48="","",(F48/1000)/(PI()*(IFERROR(INDEX(Data!$R$2:$R$21,MATCH(E48,Data!$Q$2:$Q$21,0)),9999)/1000)^2/4))</f>
        <v>1.36037329806333</v>
      </c>
      <c r="H48" s="90" t="n">
        <f aca="false">IF((A48="90 R Bend"),(VLOOKUP(E48,Data!$A$2:$G$21,2)),IF((A48="Isolation Valve"),(VLOOKUP(E48,Data!$A$2:$G$21,3)),IF((A48="Non Return Valve"),(VLOOKUP(E48,Data!$A$2:$G$21,7)),IF((A48="Tee - Line"),(VLOOKUP(E48,Data!$A$2:$G$21,4)),IF((A48="Tee - Branch"),(VLOOKUP(E48,Data!$A$2:$G$21,5)),IF((A48="Reducer"),(VLOOKUP(E48,Data!$A$2:$G$21,6)),""))))))</f>
        <v>0.97</v>
      </c>
      <c r="I48" s="91" t="n">
        <f aca="false">IF(E48="","",((((3350000*F48)/(IFERROR(INDEX(Data!$R$2:$R$21,MATCH(E48,Data!$Q$2:$Q$21,0)),9999)^2.63*IFERROR(INDEX(Data!$S$2:$S$21,MATCH(E48,Data!$Q$2:$Q$21,0)),141)))^1.852*100)/1000))</f>
        <v>0.254340037450859</v>
      </c>
      <c r="J48" s="92" t="n">
        <v>2</v>
      </c>
      <c r="K48" s="81" t="n">
        <f aca="false">IF(AND(I48="",H48=""),"",(J48*I48*H48))</f>
        <v>0.493419672654667</v>
      </c>
      <c r="L48" s="82"/>
      <c r="M48" s="93" t="s">
        <v>84</v>
      </c>
      <c r="N48" s="93"/>
      <c r="P48" s="84"/>
      <c r="Q48" s="85"/>
      <c r="R48" s="3" t="n">
        <v>90</v>
      </c>
    </row>
    <row r="49" customFormat="false" ht="12.75" hidden="false" customHeight="true" outlineLevel="0" collapsed="false">
      <c r="A49" s="86" t="s">
        <v>49</v>
      </c>
      <c r="B49" s="86"/>
      <c r="C49" s="74"/>
      <c r="D49" s="87" t="s">
        <v>50</v>
      </c>
      <c r="E49" s="87" t="n">
        <v>80</v>
      </c>
      <c r="F49" s="88" t="n">
        <f aca="false">R49*0.06309</f>
        <v>5.6781</v>
      </c>
      <c r="G49" s="89" t="n">
        <f aca="false">IF(E49="","",(F49/1000)/(PI()*(IFERROR(INDEX(Data!$R$2:$R$21,MATCH(E49,Data!$Q$2:$Q$21,0)),9999)/1000)^2/4))</f>
        <v>1.36037329806333</v>
      </c>
      <c r="H49" s="90" t="n">
        <v>1</v>
      </c>
      <c r="I49" s="91" t="n">
        <f aca="false">IF(E49="","",((((3350000*F49)/(IFERROR(INDEX(Data!$R$2:$R$21,MATCH(E49,Data!$Q$2:$Q$21,0)),9999)^2.63*IFERROR(INDEX(Data!$S$2:$S$21,MATCH(E49,Data!$Q$2:$Q$21,0)),141)))^1.852*100)/1000))</f>
        <v>0.254340037450859</v>
      </c>
      <c r="J49" s="92" t="n">
        <v>2</v>
      </c>
      <c r="K49" s="81" t="n">
        <f aca="false">IF(AND(I49="",H49=""),"",(J49*I49*H49))</f>
        <v>0.508680074901718</v>
      </c>
      <c r="L49" s="82"/>
      <c r="M49" s="93" t="s">
        <v>83</v>
      </c>
      <c r="N49" s="93"/>
      <c r="P49" s="84"/>
      <c r="Q49" s="85"/>
      <c r="R49" s="3" t="n">
        <v>90</v>
      </c>
    </row>
    <row r="50" customFormat="false" ht="12.75" hidden="false" customHeight="true" outlineLevel="0" collapsed="false">
      <c r="A50" s="86" t="s">
        <v>52</v>
      </c>
      <c r="B50" s="86"/>
      <c r="C50" s="74"/>
      <c r="D50" s="87" t="s">
        <v>50</v>
      </c>
      <c r="E50" s="87" t="n">
        <v>80</v>
      </c>
      <c r="F50" s="88" t="n">
        <f aca="false">R50*0.06309</f>
        <v>5.6781</v>
      </c>
      <c r="G50" s="89" t="n">
        <f aca="false">IF(E50="","",(F50/1000)/(PI()*(IFERROR(INDEX(Data!$R$2:$R$21,MATCH(E50,Data!$Q$2:$Q$21,0)),9999)/1000)^2/4))</f>
        <v>1.36037329806333</v>
      </c>
      <c r="H50" s="90" t="n">
        <f aca="false">IF((A50="90 R Bend"),(VLOOKUP(E50,Data!$A$2:$G$21,2)),IF((A50="Isolation Valve"),(VLOOKUP(E50,Data!$A$2:$G$21,3)),IF((A50="Non Return Valve"),(VLOOKUP(E50,Data!$A$2:$G$21,7)),IF((A50="Tee - Line"),(VLOOKUP(E50,Data!$A$2:$G$21,4)),IF((A50="Tee - Branch"),(VLOOKUP(E50,Data!$A$2:$G$21,5)),IF((A50="Reducer"),(VLOOKUP(E50,Data!$A$2:$G$21,6)),""))))))</f>
        <v>1.52</v>
      </c>
      <c r="I50" s="91" t="n">
        <f aca="false">IF(E50="","",((((3350000*F50)/(IFERROR(INDEX(Data!$R$2:$R$21,MATCH(E50,Data!$Q$2:$Q$21,0)),9999)^2.63*IFERROR(INDEX(Data!$S$2:$S$21,MATCH(E50,Data!$Q$2:$Q$21,0)),141)))^1.852*100)/1000))</f>
        <v>0.254340037450859</v>
      </c>
      <c r="J50" s="92" t="n">
        <v>2</v>
      </c>
      <c r="K50" s="81" t="n">
        <f aca="false">IF(AND(I50="",H50=""),"",(J50*I50*H50))</f>
        <v>0.773193713850612</v>
      </c>
      <c r="L50" s="82" t="n">
        <f aca="false">+SUM(K15:K50)</f>
        <v>45.0426267097939</v>
      </c>
      <c r="M50" s="93" t="s">
        <v>85</v>
      </c>
      <c r="N50" s="93"/>
      <c r="P50" s="84"/>
      <c r="Q50" s="85"/>
      <c r="R50" s="3" t="n">
        <v>90</v>
      </c>
      <c r="T50" s="47" t="n">
        <f aca="false">L50*0.334553</f>
        <v>15.0691458936417</v>
      </c>
      <c r="U50" s="48" t="s">
        <v>20</v>
      </c>
    </row>
    <row r="51" customFormat="false" ht="12.75" hidden="false" customHeight="true" outlineLevel="0" collapsed="false">
      <c r="A51" s="98"/>
      <c r="B51" s="98"/>
      <c r="C51" s="99"/>
      <c r="D51" s="75"/>
      <c r="E51" s="75"/>
      <c r="F51" s="76"/>
      <c r="G51" s="77" t="str">
        <f aca="false">IF(E51="","",(F51/1000)/(PI()*(IFERROR(INDEX(Data!$R$2:$R$21,MATCH(E51,Data!$Q$2:$Q$21,0)),9999)/1000)^2/4))</f>
        <v/>
      </c>
      <c r="H51" s="78" t="str">
        <f aca="false">IF((A51="90 R Bend"),(VLOOKUP(E51,Data!$A$2:$G$21,2)),IF((A51="Isolation Valve"),(VLOOKUP(E51,Data!$A$2:$G$21,3)),IF((A51="Non Return Valve"),(VLOOKUP(E51,Data!$A$2:$G$21,7)),IF((A51="Tee - Line"),(VLOOKUP(E51,Data!$A$2:$G$21,4)),IF((A51="Tee - Branch"),(VLOOKUP(E51,Data!$A$2:$G$21,5)),IF((A51="Reducer"),(VLOOKUP(E51,Data!$A$2:$G$21,6)),""))))))</f>
        <v/>
      </c>
      <c r="I51" s="79" t="str">
        <f aca="false">IF(E51="","",((((3350000*F51)/(IFERROR(INDEX(Data!$R$2:$R$21,MATCH(E51,Data!$Q$2:$Q$21,0)),9999)^2.63*IFERROR(INDEX(Data!$S$2:$S$21,MATCH(E51,Data!$Q$2:$Q$21,0)),141)))^1.852*100)/1000))</f>
        <v/>
      </c>
      <c r="J51" s="80"/>
      <c r="K51" s="81" t="str">
        <f aca="false">IF(AND(I51="",H51=""),"",(J51*I51*H51))</f>
        <v/>
      </c>
      <c r="L51" s="82" t="n">
        <f aca="false">L50</f>
        <v>45.0426267097939</v>
      </c>
      <c r="M51" s="83"/>
      <c r="N51" s="83"/>
      <c r="P51" s="84"/>
      <c r="Q51" s="85"/>
    </row>
    <row r="52" customFormat="false" ht="12.75" hidden="false" customHeight="true" outlineLevel="0" collapsed="false">
      <c r="A52" s="73" t="s">
        <v>86</v>
      </c>
      <c r="B52" s="73"/>
      <c r="C52" s="100"/>
      <c r="D52" s="75"/>
      <c r="E52" s="75"/>
      <c r="F52" s="76"/>
      <c r="G52" s="77" t="str">
        <f aca="false">IF(E52="","",(F52/1000)/(PI()*(IFERROR(INDEX(Data!$R$2:$R$21,MATCH(E52,Data!$Q$2:$Q$21,0)),9999)/1000)^2/4))</f>
        <v/>
      </c>
      <c r="H52" s="78" t="str">
        <f aca="false">IF((A52="90 R Bend"),(VLOOKUP(E52,Data!$A$2:$G$21,2)),IF((A52="Isolation Valve"),(VLOOKUP(E52,Data!$A$2:$G$21,3)),IF((A52="Non Return Valve"),(VLOOKUP(E52,Data!$A$2:$G$21,7)),IF((A52="Tee - Line"),(VLOOKUP(E52,Data!$A$2:$G$21,4)),IF((A52="Tee - Branch"),(VLOOKUP(E52,Data!$A$2:$G$21,5)),IF((A52="Reducer"),(VLOOKUP(E52,Data!$A$2:$G$21,6)),""))))))</f>
        <v/>
      </c>
      <c r="I52" s="79" t="str">
        <f aca="false">IF(E52="","",((((3350000*F52)/(IFERROR(INDEX(Data!$R$2:$R$21,MATCH(E52,Data!$Q$2:$Q$21,0)),9999)^2.63*IFERROR(INDEX(Data!$S$2:$S$21,MATCH(E52,Data!$Q$2:$Q$21,0)),141)))^1.852*100)/1000))</f>
        <v/>
      </c>
      <c r="J52" s="80"/>
      <c r="K52" s="81" t="str">
        <f aca="false">IF(AND(I52="",H52=""),"",(J52*I52*H52))</f>
        <v/>
      </c>
      <c r="L52" s="82"/>
      <c r="M52" s="83"/>
      <c r="N52" s="83"/>
      <c r="P52" s="84"/>
      <c r="Q52" s="85"/>
    </row>
    <row r="53" customFormat="false" ht="12.75" hidden="false" customHeight="true" outlineLevel="0" collapsed="false">
      <c r="A53" s="86" t="s">
        <v>49</v>
      </c>
      <c r="B53" s="86"/>
      <c r="C53" s="99"/>
      <c r="D53" s="75" t="s">
        <v>50</v>
      </c>
      <c r="E53" s="75" t="n">
        <v>80</v>
      </c>
      <c r="F53" s="76" t="n">
        <f aca="false">R53*0.06309</f>
        <v>5.6781</v>
      </c>
      <c r="G53" s="77" t="n">
        <f aca="false">IF(E53="","",(F53/1000)/(PI()*(IFERROR(INDEX(Data!$R$2:$R$21,MATCH(E53,Data!$Q$2:$Q$21,0)),9999)/1000)^2/4))</f>
        <v>1.36037329806333</v>
      </c>
      <c r="H53" s="78" t="n">
        <v>40</v>
      </c>
      <c r="I53" s="79" t="n">
        <f aca="false">IF(E53="","",((((3350000*F53)/(IFERROR(INDEX(Data!$R$2:$R$21,MATCH(E53,Data!$Q$2:$Q$21,0)),9999)^2.63*IFERROR(INDEX(Data!$S$2:$S$21,MATCH(E53,Data!$Q$2:$Q$21,0)),141)))^1.852*100)/1000))</f>
        <v>0.254340037450859</v>
      </c>
      <c r="J53" s="80" t="n">
        <v>2</v>
      </c>
      <c r="K53" s="81" t="n">
        <f aca="false">IF(AND(I53="",H53=""),"",(J53*I53*H53))</f>
        <v>20.3472029960687</v>
      </c>
      <c r="L53" s="82"/>
      <c r="M53" s="83" t="s">
        <v>87</v>
      </c>
      <c r="N53" s="83"/>
      <c r="P53" s="84"/>
      <c r="Q53" s="85"/>
      <c r="R53" s="3" t="n">
        <v>90</v>
      </c>
    </row>
    <row r="54" customFormat="false" ht="12.75" hidden="false" customHeight="true" outlineLevel="0" collapsed="false">
      <c r="A54" s="86" t="s">
        <v>52</v>
      </c>
      <c r="B54" s="86"/>
      <c r="C54" s="99"/>
      <c r="D54" s="75" t="s">
        <v>50</v>
      </c>
      <c r="E54" s="75" t="n">
        <v>80</v>
      </c>
      <c r="F54" s="76" t="n">
        <f aca="false">R54*0.06309</f>
        <v>5.6781</v>
      </c>
      <c r="G54" s="77" t="n">
        <f aca="false">IF(E54="","",(F54/1000)/(PI()*(IFERROR(INDEX(Data!$R$2:$R$21,MATCH(E54,Data!$Q$2:$Q$21,0)),9999)/1000)^2/4))</f>
        <v>1.36037329806333</v>
      </c>
      <c r="H54" s="78" t="n">
        <f aca="false">IF((A54="90 R Bend"),(VLOOKUP(E54,Data!$A$2:$G$21,2)),IF((A54="Isolation Valve"),(VLOOKUP(E54,Data!$A$2:$G$21,3)),IF((A54="Non Return Valve"),(VLOOKUP(E54,Data!$A$2:$G$21,7)),IF((A54="Tee - Line"),(VLOOKUP(E54,Data!$A$2:$G$21,4)),IF((A54="Tee - Branch"),(VLOOKUP(E54,Data!$A$2:$G$21,5)),IF((A54="Reducer"),(VLOOKUP(E54,Data!$A$2:$G$21,6)),""))))))</f>
        <v>1.52</v>
      </c>
      <c r="I54" s="79" t="n">
        <f aca="false">IF(E54="","",((((3350000*F54)/(IFERROR(INDEX(Data!$R$2:$R$21,MATCH(E54,Data!$Q$2:$Q$21,0)),9999)^2.63*IFERROR(INDEX(Data!$S$2:$S$21,MATCH(E54,Data!$Q$2:$Q$21,0)),141)))^1.852*100)/1000))</f>
        <v>0.254340037450859</v>
      </c>
      <c r="J54" s="80" t="n">
        <v>7</v>
      </c>
      <c r="K54" s="81" t="n">
        <f aca="false">IF(AND(I54="",H54=""),"",(J54*I54*H54))</f>
        <v>2.70617799847714</v>
      </c>
      <c r="L54" s="82"/>
      <c r="M54" s="83" t="s">
        <v>88</v>
      </c>
      <c r="N54" s="83"/>
      <c r="P54" s="84"/>
      <c r="Q54" s="85"/>
      <c r="R54" s="3" t="n">
        <v>90</v>
      </c>
    </row>
    <row r="55" customFormat="false" ht="12.75" hidden="false" customHeight="true" outlineLevel="0" collapsed="false">
      <c r="A55" s="86" t="s">
        <v>57</v>
      </c>
      <c r="B55" s="86"/>
      <c r="C55" s="99"/>
      <c r="D55" s="75" t="s">
        <v>50</v>
      </c>
      <c r="E55" s="75" t="n">
        <v>80</v>
      </c>
      <c r="F55" s="76" t="n">
        <f aca="false">R55*0.06309</f>
        <v>5.6781</v>
      </c>
      <c r="G55" s="77" t="n">
        <f aca="false">IF(E55="","",(F55/1000)/(PI()*(IFERROR(INDEX(Data!$R$2:$R$21,MATCH(E55,Data!$Q$2:$Q$21,0)),9999)/1000)^2/4))</f>
        <v>1.36037329806333</v>
      </c>
      <c r="H55" s="78" t="n">
        <f aca="false">IF((A55="90 R Bend"),(VLOOKUP(E55,Data!$A$2:$G$21,2)),IF((A55="Isolation Valve"),(VLOOKUP(E55,Data!$A$2:$G$21,3)),IF((A55="Non Return Valve"),(VLOOKUP(E55,Data!$A$2:$G$21,7)),IF((A55="Tee - Line"),(VLOOKUP(E55,Data!$A$2:$G$21,4)),IF((A55="Tee - Branch"),(VLOOKUP(E55,Data!$A$2:$G$21,5)),IF((A55="Reducer"),(VLOOKUP(E55,Data!$A$2:$G$21,6)),""))))))</f>
        <v>0.97</v>
      </c>
      <c r="I55" s="79" t="n">
        <f aca="false">IF(E55="","",((((3350000*F55)/(IFERROR(INDEX(Data!$R$2:$R$21,MATCH(E55,Data!$Q$2:$Q$21,0)),9999)^2.63*IFERROR(INDEX(Data!$S$2:$S$21,MATCH(E55,Data!$Q$2:$Q$21,0)),141)))^1.852*100)/1000))</f>
        <v>0.254340037450859</v>
      </c>
      <c r="J55" s="80" t="n">
        <v>2</v>
      </c>
      <c r="K55" s="81" t="n">
        <f aca="false">IF(AND(I55="",H55=""),"",(J55*I55*H55))</f>
        <v>0.493419672654667</v>
      </c>
      <c r="L55" s="82"/>
      <c r="M55" s="83" t="s">
        <v>89</v>
      </c>
      <c r="N55" s="83"/>
      <c r="P55" s="84"/>
      <c r="Q55" s="85"/>
      <c r="R55" s="3" t="n">
        <v>90</v>
      </c>
    </row>
    <row r="56" customFormat="false" ht="12.75" hidden="false" customHeight="true" outlineLevel="0" collapsed="false">
      <c r="A56" s="86" t="s">
        <v>68</v>
      </c>
      <c r="B56" s="86"/>
      <c r="C56" s="99"/>
      <c r="D56" s="75" t="s">
        <v>50</v>
      </c>
      <c r="E56" s="75" t="n">
        <v>80</v>
      </c>
      <c r="F56" s="76" t="n">
        <f aca="false">R56*0.06309</f>
        <v>3.8819277</v>
      </c>
      <c r="G56" s="77" t="n">
        <f aca="false">IF(E56="","",(F56/1000)/(PI()*(IFERROR(INDEX(Data!$R$2:$R$21,MATCH(E56,Data!$Q$2:$Q$21,0)),9999)/1000)^2/4))</f>
        <v>0.930041878109295</v>
      </c>
      <c r="H56" s="78" t="n">
        <f aca="false">IF((A56="90 R Bend"),(VLOOKUP(E56,Data!$A$2:$G$21,2)),IF((A56="Isolation Valve"),(VLOOKUP(E56,Data!$A$2:$G$21,3)),IF((A56="Non Return Valve"),(VLOOKUP(E56,Data!$A$2:$G$21,7)),IF((A56="Tee - Line"),(VLOOKUP(E56,Data!$A$2:$G$21,4)),IF((A56="Tee - Branch"),(VLOOKUP(E56,Data!$A$2:$G$21,5)),IF((A56="Reducer"),(VLOOKUP(E56,Data!$A$2:$G$21,6)),""))))))</f>
        <v>4.57</v>
      </c>
      <c r="I56" s="79" t="n">
        <f aca="false">IF(E56="","",((((3350000*F56)/(IFERROR(INDEX(Data!$R$2:$R$21,MATCH(E56,Data!$Q$2:$Q$21,0)),9999)^2.63*IFERROR(INDEX(Data!$S$2:$S$21,MATCH(E56,Data!$Q$2:$Q$21,0)),141)))^1.852*100)/1000))</f>
        <v>0.125761170305458</v>
      </c>
      <c r="J56" s="80" t="n">
        <v>2</v>
      </c>
      <c r="K56" s="81" t="n">
        <f aca="false">IF(AND(I56="",H56=""),"",(J56*I56*H56))</f>
        <v>1.14945709659188</v>
      </c>
      <c r="L56" s="82"/>
      <c r="M56" s="83" t="s">
        <v>90</v>
      </c>
      <c r="N56" s="83"/>
      <c r="P56" s="84"/>
      <c r="Q56" s="85"/>
      <c r="R56" s="3" t="n">
        <v>61.53</v>
      </c>
    </row>
    <row r="57" customFormat="false" ht="12.75" hidden="false" customHeight="true" outlineLevel="0" collapsed="false">
      <c r="A57" s="86" t="s">
        <v>55</v>
      </c>
      <c r="B57" s="86"/>
      <c r="C57" s="99"/>
      <c r="D57" s="75" t="s">
        <v>50</v>
      </c>
      <c r="E57" s="75" t="n">
        <v>80</v>
      </c>
      <c r="F57" s="76" t="n">
        <f aca="false">R57*0.06309</f>
        <v>0.25236</v>
      </c>
      <c r="G57" s="77" t="n">
        <f aca="false">IF(E57="","",(F57/1000)/(PI()*(IFERROR(INDEX(Data!$R$2:$R$21,MATCH(E57,Data!$Q$2:$Q$21,0)),9999)/1000)^2/4))</f>
        <v>0.0604610354694812</v>
      </c>
      <c r="H57" s="78" t="n">
        <f aca="false">IF((A57="90 R Bend"),(VLOOKUP(E57,Data!$A$2:$G$21,2)),IF((A57="Isolation Valve"),(VLOOKUP(E57,Data!$A$2:$G$21,3)),IF((A57="Non Return Valve"),(VLOOKUP(E57,Data!$A$2:$G$21,7)),IF((A57="Tee - Line"),(VLOOKUP(E57,Data!$A$2:$G$21,4)),IF((A57="Tee - Branch"),(VLOOKUP(E57,Data!$A$2:$G$21,5)),IF((A57="Reducer"),(VLOOKUP(E57,Data!$A$2:$G$21,6)),""))))))</f>
        <v>1.54</v>
      </c>
      <c r="I57" s="79" t="n">
        <f aca="false">IF(E57="","",((((3350000*F57)/(IFERROR(INDEX(Data!$R$2:$R$21,MATCH(E57,Data!$Q$2:$Q$21,0)),9999)^2.63*IFERROR(INDEX(Data!$S$2:$S$21,MATCH(E57,Data!$Q$2:$Q$21,0)),141)))^1.852*100)/1000))</f>
        <v>0.000796476024766381</v>
      </c>
      <c r="J57" s="80" t="n">
        <v>3</v>
      </c>
      <c r="K57" s="81" t="n">
        <f aca="false">IF(AND(I57="",H57=""),"",(J57*I57*H57))</f>
        <v>0.00367971923442068</v>
      </c>
      <c r="L57" s="82"/>
      <c r="M57" s="83" t="s">
        <v>90</v>
      </c>
      <c r="N57" s="83"/>
      <c r="P57" s="84"/>
      <c r="Q57" s="85"/>
      <c r="R57" s="3" t="n">
        <v>4</v>
      </c>
    </row>
    <row r="58" customFormat="false" ht="12.75" hidden="false" customHeight="true" outlineLevel="0" collapsed="false">
      <c r="A58" s="86" t="s">
        <v>55</v>
      </c>
      <c r="B58" s="86"/>
      <c r="C58" s="99"/>
      <c r="D58" s="75" t="s">
        <v>50</v>
      </c>
      <c r="E58" s="75" t="n">
        <v>80</v>
      </c>
      <c r="F58" s="76" t="n">
        <f aca="false">R58*0.06309</f>
        <v>0.1394289</v>
      </c>
      <c r="G58" s="77" t="n">
        <f aca="false">IF(E58="","",(F58/1000)/(PI()*(IFERROR(INDEX(Data!$R$2:$R$21,MATCH(E58,Data!$Q$2:$Q$21,0)),9999)/1000)^2/4))</f>
        <v>0.0334047220968884</v>
      </c>
      <c r="H58" s="78" t="n">
        <f aca="false">IF((A58="90 R Bend"),(VLOOKUP(E58,Data!$A$2:$G$21,2)),IF((A58="Isolation Valve"),(VLOOKUP(E58,Data!$A$2:$G$21,3)),IF((A58="Non Return Valve"),(VLOOKUP(E58,Data!$A$2:$G$21,7)),IF((A58="Tee - Line"),(VLOOKUP(E58,Data!$A$2:$G$21,4)),IF((A58="Tee - Branch"),(VLOOKUP(E58,Data!$A$2:$G$21,5)),IF((A58="Reducer"),(VLOOKUP(E58,Data!$A$2:$G$21,6)),""))))))</f>
        <v>1.54</v>
      </c>
      <c r="I58" s="79" t="n">
        <f aca="false">IF(E58="","",((((3350000*F58)/(IFERROR(INDEX(Data!$R$2:$R$21,MATCH(E58,Data!$Q$2:$Q$21,0)),9999)^2.63*IFERROR(INDEX(Data!$S$2:$S$21,MATCH(E58,Data!$Q$2:$Q$21,0)),141)))^1.852*100)/1000))</f>
        <v>0.000265443499501503</v>
      </c>
      <c r="J58" s="80" t="n">
        <v>2</v>
      </c>
      <c r="K58" s="81" t="n">
        <f aca="false">IF(AND(I58="",H58=""),"",(J58*I58*H58))</f>
        <v>0.000817565978464628</v>
      </c>
      <c r="L58" s="82"/>
      <c r="M58" s="83" t="s">
        <v>90</v>
      </c>
      <c r="N58" s="83"/>
      <c r="P58" s="84"/>
      <c r="Q58" s="85"/>
      <c r="R58" s="3" t="n">
        <v>2.21</v>
      </c>
    </row>
    <row r="59" customFormat="false" ht="12.75" hidden="false" customHeight="true" outlineLevel="0" collapsed="false">
      <c r="A59" s="86" t="s">
        <v>49</v>
      </c>
      <c r="B59" s="86"/>
      <c r="C59" s="99"/>
      <c r="D59" s="75" t="s">
        <v>50</v>
      </c>
      <c r="E59" s="75" t="n">
        <v>80</v>
      </c>
      <c r="F59" s="76" t="n">
        <f aca="false">R59*0.06309</f>
        <v>3.8819277</v>
      </c>
      <c r="G59" s="77" t="n">
        <f aca="false">IF(E59="","",(F59/1000)/(PI()*(IFERROR(INDEX(Data!$R$2:$R$21,MATCH(E59,Data!$Q$2:$Q$21,0)),9999)/1000)^2/4))</f>
        <v>0.930041878109295</v>
      </c>
      <c r="H59" s="78" t="n">
        <v>3.5</v>
      </c>
      <c r="I59" s="79" t="n">
        <f aca="false">IF(E59="","",((((3350000*F59)/(IFERROR(INDEX(Data!$R$2:$R$21,MATCH(E59,Data!$Q$2:$Q$21,0)),9999)^2.63*IFERROR(INDEX(Data!$S$2:$S$21,MATCH(E59,Data!$Q$2:$Q$21,0)),141)))^1.852*100)/1000))</f>
        <v>0.125761170305458</v>
      </c>
      <c r="J59" s="80" t="n">
        <v>2</v>
      </c>
      <c r="K59" s="81" t="n">
        <f aca="false">IF(AND(I59="",H59=""),"",(J59*I59*H59))</f>
        <v>0.880328192138205</v>
      </c>
      <c r="L59" s="82"/>
      <c r="M59" s="83" t="s">
        <v>87</v>
      </c>
      <c r="N59" s="83"/>
      <c r="P59" s="84"/>
      <c r="Q59" s="85"/>
      <c r="R59" s="3" t="n">
        <v>61.53</v>
      </c>
    </row>
    <row r="60" customFormat="false" ht="12.75" hidden="false" customHeight="true" outlineLevel="0" collapsed="false">
      <c r="A60" s="86" t="s">
        <v>49</v>
      </c>
      <c r="B60" s="86"/>
      <c r="C60" s="99"/>
      <c r="D60" s="75" t="s">
        <v>50</v>
      </c>
      <c r="E60" s="75" t="n">
        <v>80</v>
      </c>
      <c r="F60" s="76" t="n">
        <f aca="false">R60*0.06309</f>
        <v>3.6295677</v>
      </c>
      <c r="G60" s="77" t="n">
        <f aca="false">IF(E60="","",(F60/1000)/(PI()*(IFERROR(INDEX(Data!$R$2:$R$21,MATCH(E60,Data!$Q$2:$Q$21,0)),9999)/1000)^2/4))</f>
        <v>0.869580842639813</v>
      </c>
      <c r="H60" s="78" t="n">
        <v>2</v>
      </c>
      <c r="I60" s="79" t="n">
        <f aca="false">IF(E60="","",((((3350000*F60)/(IFERROR(INDEX(Data!$R$2:$R$21,MATCH(E60,Data!$Q$2:$Q$21,0)),9999)^2.63*IFERROR(INDEX(Data!$S$2:$S$21,MATCH(E60,Data!$Q$2:$Q$21,0)),141)))^1.852*100)/1000))</f>
        <v>0.11104064712641</v>
      </c>
      <c r="J60" s="80" t="n">
        <v>2</v>
      </c>
      <c r="K60" s="81" t="n">
        <f aca="false">IF(AND(I60="",H60=""),"",(J60*I60*H60))</f>
        <v>0.44416258850564</v>
      </c>
      <c r="L60" s="82"/>
      <c r="M60" s="83" t="s">
        <v>87</v>
      </c>
      <c r="N60" s="83"/>
      <c r="P60" s="84"/>
      <c r="Q60" s="85"/>
      <c r="R60" s="3" t="n">
        <v>57.53</v>
      </c>
    </row>
    <row r="61" customFormat="false" ht="12.75" hidden="false" customHeight="true" outlineLevel="0" collapsed="false">
      <c r="A61" s="86" t="s">
        <v>49</v>
      </c>
      <c r="B61" s="86"/>
      <c r="C61" s="99"/>
      <c r="D61" s="75" t="s">
        <v>50</v>
      </c>
      <c r="E61" s="75" t="n">
        <v>80</v>
      </c>
      <c r="F61" s="76" t="n">
        <f aca="false">R61*0.06309</f>
        <v>3.4901388</v>
      </c>
      <c r="G61" s="77" t="n">
        <f aca="false">IF(E61="","",(F61/1000)/(PI()*(IFERROR(INDEX(Data!$R$2:$R$21,MATCH(E61,Data!$Q$2:$Q$21,0)),9999)/1000)^2/4))</f>
        <v>0.836176120542925</v>
      </c>
      <c r="H61" s="78" t="n">
        <v>3</v>
      </c>
      <c r="I61" s="79" t="n">
        <f aca="false">IF(E61="","",((((3350000*F61)/(IFERROR(INDEX(Data!$R$2:$R$21,MATCH(E61,Data!$Q$2:$Q$21,0)),9999)^2.63*IFERROR(INDEX(Data!$S$2:$S$21,MATCH(E61,Data!$Q$2:$Q$21,0)),141)))^1.852*100)/1000))</f>
        <v>0.103270287224432</v>
      </c>
      <c r="J61" s="80" t="n">
        <v>2</v>
      </c>
      <c r="K61" s="81" t="n">
        <f aca="false">IF(AND(I61="",H61=""),"",(J61*I61*H61))</f>
        <v>0.619621723346592</v>
      </c>
      <c r="L61" s="82"/>
      <c r="M61" s="83" t="s">
        <v>87</v>
      </c>
      <c r="N61" s="83"/>
      <c r="P61" s="84"/>
      <c r="Q61" s="85"/>
      <c r="R61" s="3" t="n">
        <v>55.32</v>
      </c>
    </row>
    <row r="62" customFormat="false" ht="12.75" hidden="false" customHeight="true" outlineLevel="0" collapsed="false">
      <c r="A62" s="86" t="s">
        <v>49</v>
      </c>
      <c r="B62" s="86"/>
      <c r="C62" s="99"/>
      <c r="D62" s="75" t="s">
        <v>50</v>
      </c>
      <c r="E62" s="75" t="n">
        <v>80</v>
      </c>
      <c r="F62" s="76" t="n">
        <f aca="false">R62*0.06309</f>
        <v>3.0983499</v>
      </c>
      <c r="G62" s="77" t="n">
        <f aca="false">IF(E62="","",(F62/1000)/(PI()*(IFERROR(INDEX(Data!$R$2:$R$21,MATCH(E62,Data!$Q$2:$Q$21,0)),9999)/1000)^2/4))</f>
        <v>0.742310362976555</v>
      </c>
      <c r="H62" s="78" t="n">
        <v>4</v>
      </c>
      <c r="I62" s="79" t="n">
        <f aca="false">IF(E62="","",((((3350000*F62)/(IFERROR(INDEX(Data!$R$2:$R$21,MATCH(E62,Data!$Q$2:$Q$21,0)),9999)^2.63*IFERROR(INDEX(Data!$S$2:$S$21,MATCH(E62,Data!$Q$2:$Q$21,0)),141)))^1.852*100)/1000))</f>
        <v>0.0828331775218532</v>
      </c>
      <c r="J62" s="80" t="n">
        <v>2</v>
      </c>
      <c r="K62" s="81" t="n">
        <f aca="false">IF(AND(I62="",H62=""),"",(J62*I62*H62))</f>
        <v>0.662665420174825</v>
      </c>
      <c r="L62" s="82"/>
      <c r="M62" s="83" t="s">
        <v>87</v>
      </c>
      <c r="N62" s="83"/>
      <c r="P62" s="84"/>
      <c r="Q62" s="85"/>
      <c r="R62" s="3" t="n">
        <v>49.11</v>
      </c>
    </row>
    <row r="63" customFormat="false" ht="12.75" hidden="false" customHeight="true" outlineLevel="0" collapsed="false">
      <c r="A63" s="86" t="s">
        <v>91</v>
      </c>
      <c r="B63" s="86"/>
      <c r="C63" s="99"/>
      <c r="D63" s="75" t="s">
        <v>50</v>
      </c>
      <c r="E63" s="75" t="n">
        <v>65</v>
      </c>
      <c r="F63" s="76" t="n">
        <f aca="false">R63*0.06309</f>
        <v>2.8459899</v>
      </c>
      <c r="G63" s="77" t="n">
        <f aca="false">IF(E63="","",(F63/1000)/(PI()*(IFERROR(INDEX(Data!$R$2:$R$21,MATCH(E63,Data!$Q$2:$Q$21,0)),9999)/1000)^2/4))</f>
        <v>0.970646410085924</v>
      </c>
      <c r="H63" s="78" t="n">
        <f aca="false">IF((A63="90 R Bend"),(VLOOKUP(E63,Data!$A$2:$G$21,2)),IF((A63="Isolation Valve"),(VLOOKUP(E63,Data!$A$2:$G$21,3)),IF((A63="Non Return Valve"),(VLOOKUP(E63,Data!$A$2:$G$21,7)),IF((A63="Tee - Line"),(VLOOKUP(E63,Data!$A$2:$G$21,4)),IF((A63="Tee - Branch"),(VLOOKUP(E63,Data!$A$2:$G$21,5)),IF((A63="Reducer"),(VLOOKUP(E63,Data!$A$2:$G$21,6)),""))))))</f>
        <v>0.85</v>
      </c>
      <c r="I63" s="79" t="n">
        <f aca="false">IF(E63="","",((((3350000*F63)/(IFERROR(INDEX(Data!$R$2:$R$21,MATCH(E63,Data!$Q$2:$Q$21,0)),9999)^2.63*IFERROR(INDEX(Data!$S$2:$S$21,MATCH(E63,Data!$Q$2:$Q$21,0)),141)))^1.852*100)/1000))</f>
        <v>0.169417291610363</v>
      </c>
      <c r="J63" s="80" t="n">
        <v>2</v>
      </c>
      <c r="K63" s="81" t="n">
        <f aca="false">IF(AND(I63="",H63=""),"",(J63*I63*H63))</f>
        <v>0.288009395737617</v>
      </c>
      <c r="L63" s="82"/>
      <c r="M63" s="83" t="s">
        <v>92</v>
      </c>
      <c r="N63" s="83"/>
      <c r="P63" s="84"/>
      <c r="Q63" s="85"/>
      <c r="R63" s="3" t="n">
        <v>45.11</v>
      </c>
    </row>
    <row r="64" customFormat="false" ht="12.75" hidden="false" customHeight="true" outlineLevel="0" collapsed="false">
      <c r="A64" s="86" t="s">
        <v>49</v>
      </c>
      <c r="B64" s="86"/>
      <c r="C64" s="99"/>
      <c r="D64" s="75" t="s">
        <v>50</v>
      </c>
      <c r="E64" s="75" t="n">
        <v>80</v>
      </c>
      <c r="F64" s="76" t="n">
        <f aca="false">R64*0.06309</f>
        <v>2.8459899</v>
      </c>
      <c r="G64" s="77" t="n">
        <f aca="false">IF(E64="","",(F64/1000)/(PI()*(IFERROR(INDEX(Data!$R$2:$R$21,MATCH(E64,Data!$Q$2:$Q$21,0)),9999)/1000)^2/4))</f>
        <v>0.681849327507074</v>
      </c>
      <c r="H64" s="78" t="n">
        <v>1</v>
      </c>
      <c r="I64" s="79" t="n">
        <f aca="false">IF(E64="","",((((3350000*F64)/(IFERROR(INDEX(Data!$R$2:$R$21,MATCH(E64,Data!$Q$2:$Q$21,0)),9999)^2.63*IFERROR(INDEX(Data!$S$2:$S$21,MATCH(E64,Data!$Q$2:$Q$21,0)),141)))^1.852*100)/1000))</f>
        <v>0.0707735335161865</v>
      </c>
      <c r="J64" s="80" t="n">
        <v>2</v>
      </c>
      <c r="K64" s="81" t="n">
        <f aca="false">IF(AND(I64="",H64=""),"",(J64*I64*H64))</f>
        <v>0.141547067032373</v>
      </c>
      <c r="L64" s="82"/>
      <c r="M64" s="83" t="s">
        <v>87</v>
      </c>
      <c r="N64" s="83"/>
      <c r="P64" s="84"/>
      <c r="Q64" s="85"/>
      <c r="R64" s="3" t="n">
        <v>45.11</v>
      </c>
    </row>
    <row r="65" customFormat="false" ht="12.75" hidden="false" customHeight="true" outlineLevel="0" collapsed="false">
      <c r="A65" s="86" t="s">
        <v>49</v>
      </c>
      <c r="B65" s="86"/>
      <c r="C65" s="99"/>
      <c r="D65" s="75" t="s">
        <v>50</v>
      </c>
      <c r="E65" s="75" t="n">
        <v>80</v>
      </c>
      <c r="F65" s="76" t="n">
        <f aca="false">R65*0.06309</f>
        <v>2.706561</v>
      </c>
      <c r="G65" s="77" t="n">
        <f aca="false">IF(E65="","",(F65/1000)/(PI()*(IFERROR(INDEX(Data!$R$2:$R$21,MATCH(E65,Data!$Q$2:$Q$21,0)),9999)/1000)^2/4))</f>
        <v>0.648444605410186</v>
      </c>
      <c r="H65" s="78" t="n">
        <v>1</v>
      </c>
      <c r="I65" s="79" t="n">
        <f aca="false">IF(E65="","",((((3350000*F65)/(IFERROR(INDEX(Data!$R$2:$R$21,MATCH(E65,Data!$Q$2:$Q$21,0)),9999)^2.63*IFERROR(INDEX(Data!$S$2:$S$21,MATCH(E65,Data!$Q$2:$Q$21,0)),141)))^1.852*100)/1000))</f>
        <v>0.0644864557911997</v>
      </c>
      <c r="J65" s="80" t="n">
        <v>2</v>
      </c>
      <c r="K65" s="81" t="n">
        <f aca="false">IF(AND(I65="",H65=""),"",(J65*I65*H65))</f>
        <v>0.128972911582399</v>
      </c>
      <c r="L65" s="82"/>
      <c r="M65" s="83" t="s">
        <v>87</v>
      </c>
      <c r="N65" s="83"/>
      <c r="P65" s="84"/>
      <c r="Q65" s="85"/>
      <c r="R65" s="3" t="n">
        <v>42.9</v>
      </c>
    </row>
    <row r="66" customFormat="false" ht="12.75" hidden="false" customHeight="true" outlineLevel="0" collapsed="false">
      <c r="A66" s="86" t="s">
        <v>93</v>
      </c>
      <c r="B66" s="86"/>
      <c r="C66" s="99"/>
      <c r="D66" s="75" t="s">
        <v>50</v>
      </c>
      <c r="E66" s="75" t="n">
        <v>65</v>
      </c>
      <c r="F66" s="76" t="n">
        <f aca="false">R66*0.06309</f>
        <v>2.706561</v>
      </c>
      <c r="G66" s="77" t="n">
        <f aca="false">IF(E66="","",(F66/1000)/(PI()*(IFERROR(INDEX(Data!$R$2:$R$21,MATCH(E66,Data!$Q$2:$Q$21,0)),9999)/1000)^2/4))</f>
        <v>0.92309312774742</v>
      </c>
      <c r="H66" s="78" t="str">
        <f aca="false">IF((A66="90 R Bend"),(VLOOKUP(E66,Data!$A$2:$G$21,2)),IF((A66="Isolation Valve"),(VLOOKUP(E66,Data!$A$2:$G$21,3)),IF((A66="Non Return Valve"),(VLOOKUP(E66,Data!$A$2:$G$21,7)),IF((A66="Tee - Line"),(VLOOKUP(E66,Data!$A$2:$G$21,4)),IF((A66="Tee - Branch"),(VLOOKUP(E66,Data!$A$2:$G$21,5)),IF((A66="Reducer"),(VLOOKUP(E66,Data!$A$2:$G$21,6)),""))))))</f>
        <v/>
      </c>
      <c r="I66" s="79" t="n">
        <f aca="false">IF(E66="","",((((3350000*F66)/(IFERROR(INDEX(Data!$R$2:$R$21,MATCH(E66,Data!$Q$2:$Q$21,0)),9999)^2.63*IFERROR(INDEX(Data!$S$2:$S$21,MATCH(E66,Data!$Q$2:$Q$21,0)),141)))^1.852*100)/1000))</f>
        <v>0.154367319856904</v>
      </c>
      <c r="J66" s="80" t="n">
        <v>2</v>
      </c>
      <c r="K66" s="96" t="n">
        <v>3</v>
      </c>
      <c r="L66" s="82"/>
      <c r="M66" s="83" t="s">
        <v>94</v>
      </c>
      <c r="N66" s="83"/>
      <c r="P66" s="84"/>
      <c r="Q66" s="85"/>
      <c r="R66" s="3" t="n">
        <v>42.9</v>
      </c>
    </row>
    <row r="67" customFormat="false" ht="12.75" hidden="false" customHeight="true" outlineLevel="0" collapsed="false">
      <c r="A67" s="86" t="s">
        <v>49</v>
      </c>
      <c r="B67" s="86"/>
      <c r="C67" s="99"/>
      <c r="D67" s="75" t="s">
        <v>50</v>
      </c>
      <c r="E67" s="75" t="n">
        <v>65</v>
      </c>
      <c r="F67" s="76" t="n">
        <f aca="false">R67*0.06309</f>
        <v>2.706561</v>
      </c>
      <c r="G67" s="77" t="n">
        <f aca="false">IF(E67="","",(F67/1000)/(PI()*(IFERROR(INDEX(Data!$R$2:$R$21,MATCH(E67,Data!$Q$2:$Q$21,0)),9999)/1000)^2/4))</f>
        <v>0.92309312774742</v>
      </c>
      <c r="H67" s="78" t="n">
        <v>1</v>
      </c>
      <c r="I67" s="79" t="n">
        <f aca="false">IF(E67="","",((((3350000*F67)/(IFERROR(INDEX(Data!$R$2:$R$21,MATCH(E67,Data!$Q$2:$Q$21,0)),9999)^2.63*IFERROR(INDEX(Data!$S$2:$S$21,MATCH(E67,Data!$Q$2:$Q$21,0)),141)))^1.852*100)/1000))</f>
        <v>0.154367319856904</v>
      </c>
      <c r="J67" s="80" t="n">
        <v>2</v>
      </c>
      <c r="K67" s="81" t="n">
        <f aca="false">IF(AND(I67="",H67=""),"",(J67*I67*H67))</f>
        <v>0.308734639713808</v>
      </c>
      <c r="L67" s="82"/>
      <c r="M67" s="83" t="s">
        <v>95</v>
      </c>
      <c r="N67" s="83"/>
      <c r="P67" s="84"/>
      <c r="Q67" s="85"/>
      <c r="R67" s="3" t="n">
        <v>42.9</v>
      </c>
    </row>
    <row r="68" customFormat="false" ht="12.75" hidden="false" customHeight="true" outlineLevel="0" collapsed="false">
      <c r="A68" s="86" t="s">
        <v>52</v>
      </c>
      <c r="B68" s="86"/>
      <c r="C68" s="99"/>
      <c r="D68" s="75" t="s">
        <v>50</v>
      </c>
      <c r="E68" s="75" t="n">
        <v>65</v>
      </c>
      <c r="F68" s="76" t="n">
        <f aca="false">R68*0.06309</f>
        <v>2.706561</v>
      </c>
      <c r="G68" s="77" t="n">
        <f aca="false">IF(E68="","",(F68/1000)/(PI()*(IFERROR(INDEX(Data!$R$2:$R$21,MATCH(E68,Data!$Q$2:$Q$21,0)),9999)/1000)^2/4))</f>
        <v>0.92309312774742</v>
      </c>
      <c r="H68" s="78" t="n">
        <f aca="false">IF((A68="90 R Bend"),(VLOOKUP(E68,Data!$A$2:$G$21,2)),IF((A68="Isolation Valve"),(VLOOKUP(E68,Data!$A$2:$G$21,3)),IF((A68="Non Return Valve"),(VLOOKUP(E68,Data!$A$2:$G$21,7)),IF((A68="Tee - Line"),(VLOOKUP(E68,Data!$A$2:$G$21,4)),IF((A68="Tee - Branch"),(VLOOKUP(E68,Data!$A$2:$G$21,5)),IF((A68="Reducer"),(VLOOKUP(E68,Data!$A$2:$G$21,6)),""))))))</f>
        <v>1.35</v>
      </c>
      <c r="I68" s="79" t="n">
        <f aca="false">IF(E68="","",((((3350000*F68)/(IFERROR(INDEX(Data!$R$2:$R$21,MATCH(E68,Data!$Q$2:$Q$21,0)),9999)^2.63*IFERROR(INDEX(Data!$S$2:$S$21,MATCH(E68,Data!$Q$2:$Q$21,0)),141)))^1.852*100)/1000))</f>
        <v>0.154367319856904</v>
      </c>
      <c r="J68" s="80" t="n">
        <v>2</v>
      </c>
      <c r="K68" s="81" t="n">
        <f aca="false">IF(AND(I68="",H68=""),"",(J68*I68*H68))</f>
        <v>0.416791763613641</v>
      </c>
      <c r="L68" s="82"/>
      <c r="M68" s="93" t="s">
        <v>96</v>
      </c>
      <c r="N68" s="93"/>
      <c r="P68" s="84"/>
      <c r="Q68" s="85"/>
      <c r="R68" s="3" t="n">
        <v>42.9</v>
      </c>
    </row>
    <row r="69" customFormat="false" ht="12.75" hidden="false" customHeight="true" outlineLevel="0" collapsed="false">
      <c r="A69" s="86" t="s">
        <v>49</v>
      </c>
      <c r="B69" s="86"/>
      <c r="C69" s="99"/>
      <c r="D69" s="75" t="s">
        <v>50</v>
      </c>
      <c r="E69" s="75" t="n">
        <v>65</v>
      </c>
      <c r="F69" s="76" t="n">
        <f aca="false">R69*0.06309</f>
        <v>2.706561</v>
      </c>
      <c r="G69" s="77" t="n">
        <f aca="false">IF(E69="","",(F69/1000)/(PI()*(IFERROR(INDEX(Data!$R$2:$R$21,MATCH(E69,Data!$Q$2:$Q$21,0)),9999)/1000)^2/4))</f>
        <v>0.92309312774742</v>
      </c>
      <c r="H69" s="78" t="n">
        <v>1.5</v>
      </c>
      <c r="I69" s="79" t="n">
        <f aca="false">IF(E69="","",((((3350000*F69)/(IFERROR(INDEX(Data!$R$2:$R$21,MATCH(E69,Data!$Q$2:$Q$21,0)),9999)^2.63*IFERROR(INDEX(Data!$S$2:$S$21,MATCH(E69,Data!$Q$2:$Q$21,0)),141)))^1.852*100)/1000))</f>
        <v>0.154367319856904</v>
      </c>
      <c r="J69" s="80" t="n">
        <v>2</v>
      </c>
      <c r="K69" s="81" t="n">
        <f aca="false">IF(AND(I69="",H69=""),"",(J69*I69*H69))</f>
        <v>0.463101959570712</v>
      </c>
      <c r="L69" s="82"/>
      <c r="M69" s="83" t="s">
        <v>95</v>
      </c>
      <c r="N69" s="83"/>
      <c r="P69" s="84"/>
      <c r="Q69" s="85"/>
      <c r="R69" s="3" t="n">
        <v>42.9</v>
      </c>
    </row>
    <row r="70" customFormat="false" ht="12.75" hidden="false" customHeight="true" outlineLevel="0" collapsed="false">
      <c r="A70" s="86" t="s">
        <v>68</v>
      </c>
      <c r="B70" s="86"/>
      <c r="C70" s="99"/>
      <c r="D70" s="75" t="s">
        <v>50</v>
      </c>
      <c r="E70" s="75" t="n">
        <v>65</v>
      </c>
      <c r="F70" s="76" t="n">
        <f aca="false">R70*0.06309</f>
        <v>2.3494716</v>
      </c>
      <c r="G70" s="77" t="n">
        <f aca="false">IF(E70="","",(F70/1000)/(PI()*(IFERROR(INDEX(Data!$R$2:$R$21,MATCH(E70,Data!$Q$2:$Q$21,0)),9999)/1000)^2/4))</f>
        <v>0.801305083387271</v>
      </c>
      <c r="H70" s="78" t="n">
        <f aca="false">IF((A70="90 R Bend"),(VLOOKUP(E70,Data!$A$2:$G$21,2)),IF((A70="Isolation Valve"),(VLOOKUP(E70,Data!$A$2:$G$21,3)),IF((A70="Non Return Valve"),(VLOOKUP(E70,Data!$A$2:$G$21,7)),IF((A70="Tee - Line"),(VLOOKUP(E70,Data!$A$2:$G$21,4)),IF((A70="Tee - Branch"),(VLOOKUP(E70,Data!$A$2:$G$21,5)),IF((A70="Reducer"),(VLOOKUP(E70,Data!$A$2:$G$21,6)),""))))))</f>
        <v>3.65</v>
      </c>
      <c r="I70" s="79" t="n">
        <f aca="false">IF(E70="","",((((3350000*F70)/(IFERROR(INDEX(Data!$R$2:$R$21,MATCH(E70,Data!$Q$2:$Q$21,0)),9999)^2.63*IFERROR(INDEX(Data!$S$2:$S$21,MATCH(E70,Data!$Q$2:$Q$21,0)),141)))^1.852*100)/1000))</f>
        <v>0.11878302249933</v>
      </c>
      <c r="J70" s="80" t="n">
        <v>2</v>
      </c>
      <c r="K70" s="81" t="n">
        <f aca="false">IF(AND(I70="",H70=""),"",(J70*I70*H70))</f>
        <v>0.867116064245107</v>
      </c>
      <c r="L70" s="82"/>
      <c r="M70" s="83" t="s">
        <v>97</v>
      </c>
      <c r="N70" s="83"/>
      <c r="P70" s="84"/>
      <c r="Q70" s="85"/>
      <c r="R70" s="3" t="n">
        <v>37.24</v>
      </c>
    </row>
    <row r="71" customFormat="false" ht="12.75" hidden="false" customHeight="true" outlineLevel="0" collapsed="false">
      <c r="A71" s="86" t="s">
        <v>49</v>
      </c>
      <c r="B71" s="86"/>
      <c r="C71" s="99"/>
      <c r="D71" s="75" t="s">
        <v>50</v>
      </c>
      <c r="E71" s="75" t="n">
        <v>65</v>
      </c>
      <c r="F71" s="76" t="n">
        <f aca="false">R71*0.06309</f>
        <v>2.706561</v>
      </c>
      <c r="G71" s="77" t="n">
        <f aca="false">IF(E71="","",(F71/1000)/(PI()*(IFERROR(INDEX(Data!$R$2:$R$21,MATCH(E71,Data!$Q$2:$Q$21,0)),9999)/1000)^2/4))</f>
        <v>0.92309312774742</v>
      </c>
      <c r="H71" s="78" t="n">
        <v>1</v>
      </c>
      <c r="I71" s="79" t="n">
        <f aca="false">IF(E71="","",((((3350000*F71)/(IFERROR(INDEX(Data!$R$2:$R$21,MATCH(E71,Data!$Q$2:$Q$21,0)),9999)^2.63*IFERROR(INDEX(Data!$S$2:$S$21,MATCH(E71,Data!$Q$2:$Q$21,0)),141)))^1.852*100)/1000))</f>
        <v>0.154367319856904</v>
      </c>
      <c r="J71" s="80" t="n">
        <v>2</v>
      </c>
      <c r="K71" s="81" t="n">
        <f aca="false">IF(AND(I71="",H71=""),"",(J71*I71*H71))</f>
        <v>0.308734639713808</v>
      </c>
      <c r="L71" s="82"/>
      <c r="M71" s="83" t="s">
        <v>95</v>
      </c>
      <c r="N71" s="83"/>
      <c r="P71" s="84"/>
      <c r="Q71" s="85"/>
      <c r="R71" s="3" t="n">
        <v>42.9</v>
      </c>
    </row>
    <row r="72" customFormat="false" ht="12.75" hidden="false" customHeight="true" outlineLevel="0" collapsed="false">
      <c r="A72" s="86" t="s">
        <v>52</v>
      </c>
      <c r="B72" s="86"/>
      <c r="C72" s="99"/>
      <c r="D72" s="75" t="s">
        <v>50</v>
      </c>
      <c r="E72" s="75" t="n">
        <v>65</v>
      </c>
      <c r="F72" s="76" t="n">
        <f aca="false">R72*0.06309</f>
        <v>2.706561</v>
      </c>
      <c r="G72" s="77" t="n">
        <f aca="false">IF(E72="","",(F72/1000)/(PI()*(IFERROR(INDEX(Data!$R$2:$R$21,MATCH(E72,Data!$Q$2:$Q$21,0)),9999)/1000)^2/4))</f>
        <v>0.92309312774742</v>
      </c>
      <c r="H72" s="78" t="n">
        <f aca="false">IF((A72="90 R Bend"),(VLOOKUP(E72,Data!$A$2:$G$21,2)),IF((A72="Isolation Valve"),(VLOOKUP(E72,Data!$A$2:$G$21,3)),IF((A72="Non Return Valve"),(VLOOKUP(E72,Data!$A$2:$G$21,7)),IF((A72="Tee - Line"),(VLOOKUP(E72,Data!$A$2:$G$21,4)),IF((A72="Tee - Branch"),(VLOOKUP(E72,Data!$A$2:$G$21,5)),IF((A72="Reducer"),(VLOOKUP(E72,Data!$A$2:$G$21,6)),""))))))</f>
        <v>1.35</v>
      </c>
      <c r="I72" s="79" t="n">
        <f aca="false">IF(E72="","",((((3350000*F72)/(IFERROR(INDEX(Data!$R$2:$R$21,MATCH(E72,Data!$Q$2:$Q$21,0)),9999)^2.63*IFERROR(INDEX(Data!$S$2:$S$21,MATCH(E72,Data!$Q$2:$Q$21,0)),141)))^1.852*100)/1000))</f>
        <v>0.154367319856904</v>
      </c>
      <c r="J72" s="80" t="n">
        <v>2</v>
      </c>
      <c r="K72" s="81" t="n">
        <f aca="false">IF(AND(I72="",H72=""),"",(J72*I72*H72))</f>
        <v>0.416791763613641</v>
      </c>
      <c r="L72" s="82"/>
      <c r="M72" s="83" t="s">
        <v>96</v>
      </c>
      <c r="N72" s="83"/>
      <c r="P72" s="84"/>
      <c r="Q72" s="85"/>
      <c r="R72" s="3" t="n">
        <v>42.9</v>
      </c>
    </row>
    <row r="73" customFormat="false" ht="12.75" hidden="false" customHeight="true" outlineLevel="0" collapsed="false">
      <c r="A73" s="86" t="s">
        <v>49</v>
      </c>
      <c r="B73" s="86"/>
      <c r="C73" s="99"/>
      <c r="D73" s="75" t="s">
        <v>50</v>
      </c>
      <c r="E73" s="75" t="n">
        <v>65</v>
      </c>
      <c r="F73" s="76" t="n">
        <f aca="false">R73*0.06309</f>
        <v>2.706561</v>
      </c>
      <c r="G73" s="77" t="n">
        <f aca="false">IF(E73="","",(F73/1000)/(PI()*(IFERROR(INDEX(Data!$R$2:$R$21,MATCH(E73,Data!$Q$2:$Q$21,0)),9999)/1000)^2/4))</f>
        <v>0.92309312774742</v>
      </c>
      <c r="H73" s="78" t="n">
        <v>1</v>
      </c>
      <c r="I73" s="79" t="n">
        <f aca="false">IF(E73="","",((((3350000*F73)/(IFERROR(INDEX(Data!$R$2:$R$21,MATCH(E73,Data!$Q$2:$Q$21,0)),9999)^2.63*IFERROR(INDEX(Data!$S$2:$S$21,MATCH(E73,Data!$Q$2:$Q$21,0)),141)))^1.852*100)/1000))</f>
        <v>0.154367319856904</v>
      </c>
      <c r="J73" s="80" t="n">
        <v>2</v>
      </c>
      <c r="K73" s="81" t="n">
        <f aca="false">IF(AND(I73="",H73=""),"",(J73*I73*H73))</f>
        <v>0.308734639713808</v>
      </c>
      <c r="L73" s="82"/>
      <c r="M73" s="83" t="s">
        <v>95</v>
      </c>
      <c r="N73" s="83"/>
      <c r="P73" s="84"/>
      <c r="Q73" s="85"/>
      <c r="R73" s="3" t="n">
        <v>42.9</v>
      </c>
    </row>
    <row r="74" customFormat="false" ht="12.75" hidden="false" customHeight="true" outlineLevel="0" collapsed="false">
      <c r="A74" s="86" t="s">
        <v>52</v>
      </c>
      <c r="B74" s="86"/>
      <c r="C74" s="99"/>
      <c r="D74" s="75" t="s">
        <v>50</v>
      </c>
      <c r="E74" s="75" t="n">
        <v>65</v>
      </c>
      <c r="F74" s="76" t="n">
        <f aca="false">R74*0.06309</f>
        <v>2.706561</v>
      </c>
      <c r="G74" s="77" t="n">
        <f aca="false">IF(E74="","",(F74/1000)/(PI()*(IFERROR(INDEX(Data!$R$2:$R$21,MATCH(E74,Data!$Q$2:$Q$21,0)),9999)/1000)^2/4))</f>
        <v>0.92309312774742</v>
      </c>
      <c r="H74" s="78" t="n">
        <f aca="false">IF((A74="90 R Bend"),(VLOOKUP(E74,Data!$A$2:$G$21,2)),IF((A74="Isolation Valve"),(VLOOKUP(E74,Data!$A$2:$G$21,3)),IF((A74="Non Return Valve"),(VLOOKUP(E74,Data!$A$2:$G$21,7)),IF((A74="Tee - Line"),(VLOOKUP(E74,Data!$A$2:$G$21,4)),IF((A74="Tee - Branch"),(VLOOKUP(E74,Data!$A$2:$G$21,5)),IF((A74="Reducer"),(VLOOKUP(E74,Data!$A$2:$G$21,6)),""))))))</f>
        <v>1.35</v>
      </c>
      <c r="I74" s="79" t="n">
        <f aca="false">IF(E74="","",((((3350000*F74)/(IFERROR(INDEX(Data!$R$2:$R$21,MATCH(E74,Data!$Q$2:$Q$21,0)),9999)^2.63*IFERROR(INDEX(Data!$S$2:$S$21,MATCH(E74,Data!$Q$2:$Q$21,0)),141)))^1.852*100)/1000))</f>
        <v>0.154367319856904</v>
      </c>
      <c r="J74" s="80" t="n">
        <v>2</v>
      </c>
      <c r="K74" s="81" t="n">
        <f aca="false">IF(AND(I74="",H74=""),"",(J74*I74*H74))</f>
        <v>0.416791763613641</v>
      </c>
      <c r="L74" s="82"/>
      <c r="M74" s="83" t="s">
        <v>96</v>
      </c>
      <c r="N74" s="83"/>
      <c r="P74" s="84"/>
      <c r="Q74" s="85"/>
      <c r="R74" s="3" t="n">
        <v>42.9</v>
      </c>
    </row>
    <row r="75" customFormat="false" ht="12.75" hidden="false" customHeight="true" outlineLevel="0" collapsed="false">
      <c r="A75" s="86" t="s">
        <v>49</v>
      </c>
      <c r="B75" s="86"/>
      <c r="C75" s="99"/>
      <c r="D75" s="75" t="s">
        <v>50</v>
      </c>
      <c r="E75" s="75" t="n">
        <v>65</v>
      </c>
      <c r="F75" s="76" t="n">
        <f aca="false">R75*0.06309</f>
        <v>2.706561</v>
      </c>
      <c r="G75" s="77" t="n">
        <f aca="false">IF(E75="","",(F75/1000)/(PI()*(IFERROR(INDEX(Data!$R$2:$R$21,MATCH(E75,Data!$Q$2:$Q$21,0)),9999)/1000)^2/4))</f>
        <v>0.92309312774742</v>
      </c>
      <c r="H75" s="78" t="n">
        <v>3.5</v>
      </c>
      <c r="I75" s="79" t="n">
        <f aca="false">IF(E75="","",((((3350000*F75)/(IFERROR(INDEX(Data!$R$2:$R$21,MATCH(E75,Data!$Q$2:$Q$21,0)),9999)^2.63*IFERROR(INDEX(Data!$S$2:$S$21,MATCH(E75,Data!$Q$2:$Q$21,0)),141)))^1.852*100)/1000))</f>
        <v>0.154367319856904</v>
      </c>
      <c r="J75" s="80" t="n">
        <v>2</v>
      </c>
      <c r="K75" s="81" t="n">
        <f aca="false">IF(AND(I75="",H75=""),"",(J75*I75*H75))</f>
        <v>1.08057123899833</v>
      </c>
      <c r="L75" s="82"/>
      <c r="M75" s="93" t="s">
        <v>98</v>
      </c>
      <c r="N75" s="93"/>
      <c r="P75" s="84"/>
      <c r="Q75" s="85"/>
      <c r="R75" s="3" t="n">
        <v>42.9</v>
      </c>
    </row>
    <row r="76" customFormat="false" ht="12.75" hidden="false" customHeight="true" outlineLevel="0" collapsed="false">
      <c r="A76" s="86" t="s">
        <v>52</v>
      </c>
      <c r="B76" s="86"/>
      <c r="C76" s="99"/>
      <c r="D76" s="75" t="s">
        <v>50</v>
      </c>
      <c r="E76" s="75" t="n">
        <v>65</v>
      </c>
      <c r="F76" s="76" t="n">
        <f aca="false">R76*0.06309</f>
        <v>2.706561</v>
      </c>
      <c r="G76" s="77" t="n">
        <f aca="false">IF(E76="","",(F76/1000)/(PI()*(IFERROR(INDEX(Data!$R$2:$R$21,MATCH(E76,Data!$Q$2:$Q$21,0)),9999)/1000)^2/4))</f>
        <v>0.92309312774742</v>
      </c>
      <c r="H76" s="78" t="n">
        <f aca="false">IF((A76="90 R Bend"),(VLOOKUP(E76,Data!$A$2:$G$21,2)),IF((A76="Isolation Valve"),(VLOOKUP(E76,Data!$A$2:$G$21,3)),IF((A76="Non Return Valve"),(VLOOKUP(E76,Data!$A$2:$G$21,7)),IF((A76="Tee - Line"),(VLOOKUP(E76,Data!$A$2:$G$21,4)),IF((A76="Tee - Branch"),(VLOOKUP(E76,Data!$A$2:$G$21,5)),IF((A76="Reducer"),(VLOOKUP(E76,Data!$A$2:$G$21,6)),""))))))</f>
        <v>1.35</v>
      </c>
      <c r="I76" s="79" t="n">
        <f aca="false">IF(E76="","",((((3350000*F76)/(IFERROR(INDEX(Data!$R$2:$R$21,MATCH(E76,Data!$Q$2:$Q$21,0)),9999)^2.63*IFERROR(INDEX(Data!$S$2:$S$21,MATCH(E76,Data!$Q$2:$Q$21,0)),141)))^1.852*100)/1000))</f>
        <v>0.154367319856904</v>
      </c>
      <c r="J76" s="80" t="n">
        <v>2</v>
      </c>
      <c r="K76" s="81" t="n">
        <f aca="false">IF(AND(I76="",H76=""),"",(J76*I76*H76))</f>
        <v>0.416791763613641</v>
      </c>
      <c r="L76" s="82"/>
      <c r="M76" s="93" t="s">
        <v>99</v>
      </c>
      <c r="N76" s="93"/>
      <c r="P76" s="84"/>
      <c r="Q76" s="85"/>
      <c r="R76" s="3" t="n">
        <v>42.9</v>
      </c>
    </row>
    <row r="77" customFormat="false" ht="12.75" hidden="false" customHeight="true" outlineLevel="0" collapsed="false">
      <c r="A77" s="86" t="s">
        <v>49</v>
      </c>
      <c r="B77" s="86"/>
      <c r="C77" s="99"/>
      <c r="D77" s="75" t="s">
        <v>50</v>
      </c>
      <c r="E77" s="75" t="n">
        <v>65</v>
      </c>
      <c r="F77" s="76" t="n">
        <f aca="false">R77*0.06309</f>
        <v>2.706561</v>
      </c>
      <c r="G77" s="77" t="n">
        <f aca="false">IF(E77="","",(F77/1000)/(PI()*(IFERROR(INDEX(Data!$R$2:$R$21,MATCH(E77,Data!$Q$2:$Q$21,0)),9999)/1000)^2/4))</f>
        <v>0.92309312774742</v>
      </c>
      <c r="H77" s="78" t="n">
        <v>0.5</v>
      </c>
      <c r="I77" s="79" t="n">
        <f aca="false">IF(E77="","",((((3350000*F77)/(IFERROR(INDEX(Data!$R$2:$R$21,MATCH(E77,Data!$Q$2:$Q$21,0)),9999)^2.63*IFERROR(INDEX(Data!$S$2:$S$21,MATCH(E77,Data!$Q$2:$Q$21,0)),141)))^1.852*100)/1000))</f>
        <v>0.154367319856904</v>
      </c>
      <c r="J77" s="80" t="n">
        <v>2</v>
      </c>
      <c r="K77" s="81" t="n">
        <f aca="false">IF(AND(I77="",H77=""),"",(J77*I77*H77))</f>
        <v>0.154367319856904</v>
      </c>
      <c r="L77" s="82"/>
      <c r="M77" s="93" t="s">
        <v>98</v>
      </c>
      <c r="N77" s="93"/>
      <c r="P77" s="84"/>
      <c r="Q77" s="85"/>
      <c r="R77" s="3" t="n">
        <v>42.9</v>
      </c>
    </row>
    <row r="78" customFormat="false" ht="12.75" hidden="false" customHeight="true" outlineLevel="0" collapsed="false">
      <c r="A78" s="86" t="s">
        <v>52</v>
      </c>
      <c r="B78" s="86"/>
      <c r="C78" s="99"/>
      <c r="D78" s="75" t="s">
        <v>50</v>
      </c>
      <c r="E78" s="75" t="n">
        <v>65</v>
      </c>
      <c r="F78" s="76" t="n">
        <f aca="false">R78*0.06309</f>
        <v>2.706561</v>
      </c>
      <c r="G78" s="77" t="n">
        <f aca="false">IF(E78="","",(F78/1000)/(PI()*(IFERROR(INDEX(Data!$R$2:$R$21,MATCH(E78,Data!$Q$2:$Q$21,0)),9999)/1000)^2/4))</f>
        <v>0.92309312774742</v>
      </c>
      <c r="H78" s="78" t="n">
        <f aca="false">IF((A78="90 R Bend"),(VLOOKUP(E78,Data!$A$2:$G$21,2)),IF((A78="Isolation Valve"),(VLOOKUP(E78,Data!$A$2:$G$21,3)),IF((A78="Non Return Valve"),(VLOOKUP(E78,Data!$A$2:$G$21,7)),IF((A78="Tee - Line"),(VLOOKUP(E78,Data!$A$2:$G$21,4)),IF((A78="Tee - Branch"),(VLOOKUP(E78,Data!$A$2:$G$21,5)),IF((A78="Reducer"),(VLOOKUP(E78,Data!$A$2:$G$21,6)),""))))))</f>
        <v>1.35</v>
      </c>
      <c r="I78" s="79" t="n">
        <f aca="false">IF(E78="","",((((3350000*F78)/(IFERROR(INDEX(Data!$R$2:$R$21,MATCH(E78,Data!$Q$2:$Q$21,0)),9999)^2.63*IFERROR(INDEX(Data!$S$2:$S$21,MATCH(E78,Data!$Q$2:$Q$21,0)),141)))^1.852*100)/1000))</f>
        <v>0.154367319856904</v>
      </c>
      <c r="J78" s="80" t="n">
        <v>2</v>
      </c>
      <c r="K78" s="81" t="n">
        <f aca="false">IF(AND(I78="",H78=""),"",(J78*I78*H78))</f>
        <v>0.416791763613641</v>
      </c>
      <c r="L78" s="82"/>
      <c r="M78" s="93" t="s">
        <v>100</v>
      </c>
      <c r="N78" s="93"/>
      <c r="P78" s="84"/>
      <c r="Q78" s="85"/>
      <c r="R78" s="3" t="n">
        <v>42.9</v>
      </c>
    </row>
    <row r="79" customFormat="false" ht="12.75" hidden="false" customHeight="true" outlineLevel="0" collapsed="false">
      <c r="A79" s="86" t="s">
        <v>49</v>
      </c>
      <c r="B79" s="86"/>
      <c r="C79" s="99"/>
      <c r="D79" s="75" t="s">
        <v>50</v>
      </c>
      <c r="E79" s="75" t="n">
        <v>65</v>
      </c>
      <c r="F79" s="76" t="n">
        <f aca="false">R79*0.06309</f>
        <v>2.706561</v>
      </c>
      <c r="G79" s="77" t="n">
        <f aca="false">IF(E79="","",(F79/1000)/(PI()*(IFERROR(INDEX(Data!$R$2:$R$21,MATCH(E79,Data!$Q$2:$Q$21,0)),9999)/1000)^2/4))</f>
        <v>0.92309312774742</v>
      </c>
      <c r="H79" s="78" t="n">
        <v>0.5</v>
      </c>
      <c r="I79" s="79" t="n">
        <f aca="false">IF(E79="","",((((3350000*F79)/(IFERROR(INDEX(Data!$R$2:$R$21,MATCH(E79,Data!$Q$2:$Q$21,0)),9999)^2.63*IFERROR(INDEX(Data!$S$2:$S$21,MATCH(E79,Data!$Q$2:$Q$21,0)),141)))^1.852*100)/1000))</f>
        <v>0.154367319856904</v>
      </c>
      <c r="J79" s="80" t="n">
        <v>2</v>
      </c>
      <c r="K79" s="81" t="n">
        <f aca="false">IF(AND(I79="",H79=""),"",(J79*I79*H79))</f>
        <v>0.154367319856904</v>
      </c>
      <c r="L79" s="82"/>
      <c r="M79" s="93" t="s">
        <v>101</v>
      </c>
      <c r="N79" s="93"/>
      <c r="P79" s="84"/>
      <c r="Q79" s="85"/>
      <c r="R79" s="3" t="n">
        <v>42.9</v>
      </c>
    </row>
    <row r="80" customFormat="false" ht="12.75" hidden="false" customHeight="true" outlineLevel="0" collapsed="false">
      <c r="A80" s="86" t="s">
        <v>68</v>
      </c>
      <c r="B80" s="86"/>
      <c r="C80" s="99"/>
      <c r="D80" s="75" t="s">
        <v>50</v>
      </c>
      <c r="E80" s="75" t="n">
        <v>65</v>
      </c>
      <c r="F80" s="76" t="n">
        <f aca="false">R80*0.06309</f>
        <v>2.706561</v>
      </c>
      <c r="G80" s="77" t="n">
        <f aca="false">IF(E80="","",(F80/1000)/(PI()*(IFERROR(INDEX(Data!$R$2:$R$21,MATCH(E80,Data!$Q$2:$Q$21,0)),9999)/1000)^2/4))</f>
        <v>0.92309312774742</v>
      </c>
      <c r="H80" s="78" t="n">
        <f aca="false">IF((A80="90 R Bend"),(VLOOKUP(E80,Data!$A$2:$G$21,2)),IF((A80="Isolation Valve"),(VLOOKUP(E80,Data!$A$2:$G$21,3)),IF((A80="Non Return Valve"),(VLOOKUP(E80,Data!$A$2:$G$21,7)),IF((A80="Tee - Line"),(VLOOKUP(E80,Data!$A$2:$G$21,4)),IF((A80="Tee - Branch"),(VLOOKUP(E80,Data!$A$2:$G$21,5)),IF((A80="Reducer"),(VLOOKUP(E80,Data!$A$2:$G$21,6)),""))))))</f>
        <v>3.65</v>
      </c>
      <c r="I80" s="79" t="n">
        <f aca="false">IF(E80="","",((((3350000*F80)/(IFERROR(INDEX(Data!$R$2:$R$21,MATCH(E80,Data!$Q$2:$Q$21,0)),9999)^2.63*IFERROR(INDEX(Data!$S$2:$S$21,MATCH(E80,Data!$Q$2:$Q$21,0)),141)))^1.852*100)/1000))</f>
        <v>0.154367319856904</v>
      </c>
      <c r="J80" s="80" t="n">
        <v>2</v>
      </c>
      <c r="K80" s="81" t="n">
        <f aca="false">IF(AND(I80="",H80=""),"",(J80*I80*H80))</f>
        <v>1.1268814349554</v>
      </c>
      <c r="L80" s="82"/>
      <c r="M80" s="93" t="s">
        <v>102</v>
      </c>
      <c r="N80" s="93"/>
      <c r="P80" s="84"/>
      <c r="Q80" s="85"/>
      <c r="R80" s="3" t="n">
        <v>42.9</v>
      </c>
    </row>
    <row r="81" customFormat="false" ht="12.75" hidden="false" customHeight="true" outlineLevel="0" collapsed="false">
      <c r="A81" s="86" t="s">
        <v>49</v>
      </c>
      <c r="B81" s="86"/>
      <c r="C81" s="99"/>
      <c r="D81" s="75" t="s">
        <v>50</v>
      </c>
      <c r="E81" s="75" t="n">
        <v>65</v>
      </c>
      <c r="F81" s="76" t="n">
        <f aca="false">R81*0.06309</f>
        <v>2.706561</v>
      </c>
      <c r="G81" s="77" t="n">
        <f aca="false">IF(E81="","",(F81/1000)/(PI()*(IFERROR(INDEX(Data!$R$2:$R$21,MATCH(E81,Data!$Q$2:$Q$21,0)),9999)/1000)^2/4))</f>
        <v>0.92309312774742</v>
      </c>
      <c r="H81" s="78" t="n">
        <v>0.5</v>
      </c>
      <c r="I81" s="79" t="n">
        <f aca="false">IF(E81="","",((((3350000*F81)/(IFERROR(INDEX(Data!$R$2:$R$21,MATCH(E81,Data!$Q$2:$Q$21,0)),9999)^2.63*IFERROR(INDEX(Data!$S$2:$S$21,MATCH(E81,Data!$Q$2:$Q$21,0)),141)))^1.852*100)/1000))</f>
        <v>0.154367319856904</v>
      </c>
      <c r="J81" s="80" t="n">
        <v>2</v>
      </c>
      <c r="K81" s="81" t="n">
        <f aca="false">IF(AND(I81="",H81=""),"",(J81*I81*H81))</f>
        <v>0.154367319856904</v>
      </c>
      <c r="L81" s="82"/>
      <c r="M81" s="93" t="s">
        <v>102</v>
      </c>
      <c r="N81" s="93"/>
      <c r="P81" s="84"/>
      <c r="Q81" s="85"/>
      <c r="R81" s="3" t="n">
        <v>42.9</v>
      </c>
    </row>
    <row r="82" customFormat="false" ht="12.75" hidden="false" customHeight="true" outlineLevel="0" collapsed="false">
      <c r="A82" s="86" t="s">
        <v>68</v>
      </c>
      <c r="B82" s="86"/>
      <c r="C82" s="99"/>
      <c r="D82" s="75" t="s">
        <v>50</v>
      </c>
      <c r="E82" s="75" t="n">
        <v>50</v>
      </c>
      <c r="F82" s="76" t="n">
        <f aca="false">R82*0.06309</f>
        <v>1.8649404</v>
      </c>
      <c r="G82" s="77" t="n">
        <f aca="false">IF(E82="","",(F82/1000)/(PI()*(IFERROR(INDEX(Data!$R$2:$R$21,MATCH(E82,Data!$Q$2:$Q$21,0)),9999)/1000)^2/4))</f>
        <v>1.01364142897267</v>
      </c>
      <c r="H82" s="78" t="n">
        <f aca="false">IF((A82="90 R Bend"),(VLOOKUP(E82,Data!$A$2:$G$21,2)),IF((A82="Isolation Valve"),(VLOOKUP(E82,Data!$A$2:$G$21,3)),IF((A82="Non Return Valve"),(VLOOKUP(E82,Data!$A$2:$G$21,7)),IF((A82="Tee - Line"),(VLOOKUP(E82,Data!$A$2:$G$21,4)),IF((A82="Tee - Branch"),(VLOOKUP(E82,Data!$A$2:$G$21,5)),IF((A82="Reducer"),(VLOOKUP(E82,Data!$A$2:$G$21,6)),""))))))</f>
        <v>3.04</v>
      </c>
      <c r="I82" s="79" t="n">
        <f aca="false">IF(E82="","",((((3350000*F82)/(IFERROR(INDEX(Data!$R$2:$R$21,MATCH(E82,Data!$Q$2:$Q$21,0)),9999)^2.63*IFERROR(INDEX(Data!$S$2:$S$21,MATCH(E82,Data!$Q$2:$Q$21,0)),141)))^1.852*100)/1000))</f>
        <v>0.240929375097631</v>
      </c>
      <c r="J82" s="80" t="n">
        <v>2</v>
      </c>
      <c r="K82" s="81" t="n">
        <f aca="false">IF(AND(I82="",H82=""),"",(J82*I82*H82))</f>
        <v>1.46485060059359</v>
      </c>
      <c r="L82" s="82"/>
      <c r="M82" s="93" t="s">
        <v>102</v>
      </c>
      <c r="N82" s="93"/>
      <c r="P82" s="84"/>
      <c r="Q82" s="85"/>
      <c r="R82" s="3" t="n">
        <v>29.56</v>
      </c>
    </row>
    <row r="83" customFormat="false" ht="12.75" hidden="false" customHeight="true" outlineLevel="0" collapsed="false">
      <c r="A83" s="86" t="s">
        <v>49</v>
      </c>
      <c r="B83" s="86"/>
      <c r="C83" s="99"/>
      <c r="D83" s="75" t="s">
        <v>50</v>
      </c>
      <c r="E83" s="75" t="n">
        <v>65</v>
      </c>
      <c r="F83" s="76" t="n">
        <f aca="false">R83*0.06309</f>
        <v>1.8649404</v>
      </c>
      <c r="G83" s="77" t="n">
        <f aca="false">IF(E83="","",(F83/1000)/(PI()*(IFERROR(INDEX(Data!$R$2:$R$21,MATCH(E83,Data!$Q$2:$Q$21,0)),9999)/1000)^2/4))</f>
        <v>0.63605204793039</v>
      </c>
      <c r="H83" s="78" t="n">
        <v>4.3</v>
      </c>
      <c r="I83" s="79" t="n">
        <f aca="false">IF(E83="","",((((3350000*F83)/(IFERROR(INDEX(Data!$R$2:$R$21,MATCH(E83,Data!$Q$2:$Q$21,0)),9999)^2.63*IFERROR(INDEX(Data!$S$2:$S$21,MATCH(E83,Data!$Q$2:$Q$21,0)),141)))^1.852*100)/1000))</f>
        <v>0.0774442293905063</v>
      </c>
      <c r="J83" s="80" t="n">
        <v>2</v>
      </c>
      <c r="K83" s="81" t="n">
        <f aca="false">IF(AND(I83="",H83=""),"",(J83*I83*H83))</f>
        <v>0.666020372758354</v>
      </c>
      <c r="L83" s="82"/>
      <c r="M83" s="93" t="s">
        <v>102</v>
      </c>
      <c r="N83" s="93"/>
      <c r="P83" s="84"/>
      <c r="Q83" s="85"/>
      <c r="R83" s="3" t="n">
        <v>29.56</v>
      </c>
    </row>
    <row r="84" customFormat="false" ht="12.75" hidden="false" customHeight="true" outlineLevel="0" collapsed="false">
      <c r="A84" s="86" t="s">
        <v>55</v>
      </c>
      <c r="B84" s="86"/>
      <c r="C84" s="99"/>
      <c r="D84" s="75" t="s">
        <v>50</v>
      </c>
      <c r="E84" s="75" t="n">
        <v>40</v>
      </c>
      <c r="F84" s="76" t="n">
        <f aca="false">R84*0.06309</f>
        <v>0.403776</v>
      </c>
      <c r="G84" s="77" t="n">
        <f aca="false">IF(E84="","",(F84/1000)/(PI()*(IFERROR(INDEX(Data!$R$2:$R$21,MATCH(E84,Data!$Q$2:$Q$21,0)),9999)/1000)^2/4))</f>
        <v>0.403379838535402</v>
      </c>
      <c r="H84" s="78" t="n">
        <f aca="false">IF((A84="90 R Bend"),(VLOOKUP(E84,Data!$A$2:$G$21,2)),IF((A84="Isolation Valve"),(VLOOKUP(E84,Data!$A$2:$G$21,3)),IF((A84="Non Return Valve"),(VLOOKUP(E84,Data!$A$2:$G$21,7)),IF((A84="Tee - Line"),(VLOOKUP(E84,Data!$A$2:$G$21,4)),IF((A84="Tee - Branch"),(VLOOKUP(E84,Data!$A$2:$G$21,5)),IF((A84="Reducer"),(VLOOKUP(E84,Data!$A$2:$G$21,6)),""))))))</f>
        <v>0.79</v>
      </c>
      <c r="I84" s="79" t="n">
        <f aca="false">IF(E84="","",((((3350000*F84)/(IFERROR(INDEX(Data!$R$2:$R$21,MATCH(E84,Data!$Q$2:$Q$21,0)),9999)^2.63*IFERROR(INDEX(Data!$S$2:$S$21,MATCH(E84,Data!$Q$2:$Q$21,0)),141)))^1.852*100)/1000))</f>
        <v>0.0631827623753063</v>
      </c>
      <c r="J84" s="80" t="n">
        <v>2</v>
      </c>
      <c r="K84" s="81" t="n">
        <f aca="false">IF(AND(I84="",H84=""),"",(J84*I84*H84))</f>
        <v>0.0998287645529839</v>
      </c>
      <c r="L84" s="82"/>
      <c r="M84" s="93" t="s">
        <v>102</v>
      </c>
      <c r="N84" s="93"/>
      <c r="P84" s="84"/>
      <c r="Q84" s="85"/>
      <c r="R84" s="3" t="n">
        <v>6.4</v>
      </c>
    </row>
    <row r="85" customFormat="false" ht="12.75" hidden="false" customHeight="true" outlineLevel="0" collapsed="false">
      <c r="A85" s="86" t="s">
        <v>49</v>
      </c>
      <c r="B85" s="86"/>
      <c r="C85" s="99"/>
      <c r="D85" s="75" t="s">
        <v>50</v>
      </c>
      <c r="E85" s="75" t="n">
        <v>65</v>
      </c>
      <c r="F85" s="76" t="n">
        <f aca="false">R85*0.06309</f>
        <v>1.4611644</v>
      </c>
      <c r="G85" s="77" t="n">
        <f aca="false">IF(E85="","",(F85/1000)/(PI()*(IFERROR(INDEX(Data!$R$2:$R$21,MATCH(E85,Data!$Q$2:$Q$21,0)),9999)/1000)^2/4))</f>
        <v>0.498341185049656</v>
      </c>
      <c r="H85" s="78" t="n">
        <v>8.5</v>
      </c>
      <c r="I85" s="79" t="n">
        <f aca="false">IF(E85="","",((((3350000*F85)/(IFERROR(INDEX(Data!$R$2:$R$21,MATCH(E85,Data!$Q$2:$Q$21,0)),9999)^2.63*IFERROR(INDEX(Data!$S$2:$S$21,MATCH(E85,Data!$Q$2:$Q$21,0)),141)))^1.852*100)/1000))</f>
        <v>0.0492878941145642</v>
      </c>
      <c r="J85" s="80" t="n">
        <v>2</v>
      </c>
      <c r="K85" s="81" t="n">
        <f aca="false">IF(AND(I85="",H85=""),"",(J85*I85*H85))</f>
        <v>0.837894199947591</v>
      </c>
      <c r="L85" s="82"/>
      <c r="M85" s="93" t="s">
        <v>102</v>
      </c>
      <c r="N85" s="93"/>
      <c r="P85" s="84"/>
      <c r="Q85" s="85"/>
      <c r="R85" s="3" t="n">
        <v>23.16</v>
      </c>
    </row>
    <row r="86" customFormat="false" ht="12.75" hidden="false" customHeight="true" outlineLevel="0" collapsed="false">
      <c r="A86" s="86" t="s">
        <v>55</v>
      </c>
      <c r="B86" s="86"/>
      <c r="C86" s="99"/>
      <c r="D86" s="75" t="s">
        <v>50</v>
      </c>
      <c r="E86" s="75" t="n">
        <v>40</v>
      </c>
      <c r="F86" s="76" t="n">
        <f aca="false">R86*0.06309</f>
        <v>0.403776</v>
      </c>
      <c r="G86" s="77" t="n">
        <f aca="false">IF(E86="","",(F86/1000)/(PI()*(IFERROR(INDEX(Data!$R$2:$R$21,MATCH(E86,Data!$Q$2:$Q$21,0)),9999)/1000)^2/4))</f>
        <v>0.403379838535402</v>
      </c>
      <c r="H86" s="78" t="n">
        <f aca="false">IF((A86="90 R Bend"),(VLOOKUP(E86,Data!$A$2:$G$21,2)),IF((A86="Isolation Valve"),(VLOOKUP(E86,Data!$A$2:$G$21,3)),IF((A86="Non Return Valve"),(VLOOKUP(E86,Data!$A$2:$G$21,7)),IF((A86="Tee - Line"),(VLOOKUP(E86,Data!$A$2:$G$21,4)),IF((A86="Tee - Branch"),(VLOOKUP(E86,Data!$A$2:$G$21,5)),IF((A86="Reducer"),(VLOOKUP(E86,Data!$A$2:$G$21,6)),""))))))</f>
        <v>0.79</v>
      </c>
      <c r="I86" s="79" t="n">
        <f aca="false">IF(E86="","",((((3350000*F86)/(IFERROR(INDEX(Data!$R$2:$R$21,MATCH(E86,Data!$Q$2:$Q$21,0)),9999)^2.63*IFERROR(INDEX(Data!$S$2:$S$21,MATCH(E86,Data!$Q$2:$Q$21,0)),141)))^1.852*100)/1000))</f>
        <v>0.0631827623753063</v>
      </c>
      <c r="J86" s="80" t="n">
        <v>2</v>
      </c>
      <c r="K86" s="81" t="n">
        <f aca="false">IF(AND(I86="",H86=""),"",(J86*I86*H86))</f>
        <v>0.0998287645529839</v>
      </c>
      <c r="L86" s="82"/>
      <c r="M86" s="93" t="s">
        <v>102</v>
      </c>
      <c r="N86" s="93"/>
      <c r="P86" s="84"/>
      <c r="Q86" s="85"/>
      <c r="R86" s="3" t="n">
        <v>6.4</v>
      </c>
    </row>
    <row r="87" customFormat="false" ht="12.75" hidden="false" customHeight="true" outlineLevel="0" collapsed="false">
      <c r="A87" s="86" t="s">
        <v>49</v>
      </c>
      <c r="B87" s="86"/>
      <c r="C87" s="99"/>
      <c r="D87" s="75" t="s">
        <v>50</v>
      </c>
      <c r="E87" s="75" t="n">
        <v>65</v>
      </c>
      <c r="F87" s="76" t="n">
        <f aca="false">R87*0.06309</f>
        <v>0.807552</v>
      </c>
      <c r="G87" s="77" t="n">
        <f aca="false">IF(E87="","",(F87/1000)/(PI()*(IFERROR(INDEX(Data!$R$2:$R$21,MATCH(E87,Data!$Q$2:$Q$21,0)),9999)/1000)^2/4))</f>
        <v>0.275421725761468</v>
      </c>
      <c r="H87" s="78" t="n">
        <v>9.5</v>
      </c>
      <c r="I87" s="79" t="n">
        <f aca="false">IF(E87="","",((((3350000*F87)/(IFERROR(INDEX(Data!$R$2:$R$21,MATCH(E87,Data!$Q$2:$Q$21,0)),9999)^2.63*IFERROR(INDEX(Data!$S$2:$S$21,MATCH(E87,Data!$Q$2:$Q$21,0)),141)))^1.852*100)/1000))</f>
        <v>0.0164360450368903</v>
      </c>
      <c r="J87" s="80" t="n">
        <v>2</v>
      </c>
      <c r="K87" s="81" t="n">
        <f aca="false">IF(AND(I87="",H87=""),"",(J87*I87*H87))</f>
        <v>0.312284855700917</v>
      </c>
      <c r="L87" s="82"/>
      <c r="M87" s="93" t="s">
        <v>102</v>
      </c>
      <c r="N87" s="93"/>
      <c r="P87" s="84"/>
      <c r="Q87" s="85"/>
      <c r="R87" s="3" t="n">
        <v>12.8</v>
      </c>
    </row>
    <row r="88" customFormat="false" ht="12.75" hidden="false" customHeight="true" outlineLevel="0" collapsed="false">
      <c r="A88" s="86" t="s">
        <v>55</v>
      </c>
      <c r="B88" s="86"/>
      <c r="C88" s="99"/>
      <c r="D88" s="75" t="s">
        <v>50</v>
      </c>
      <c r="E88" s="75" t="n">
        <v>40</v>
      </c>
      <c r="F88" s="76" t="n">
        <f aca="false">R88*0.06309</f>
        <v>0.403776</v>
      </c>
      <c r="G88" s="77" t="n">
        <f aca="false">IF(E88="","",(F88/1000)/(PI()*(IFERROR(INDEX(Data!$R$2:$R$21,MATCH(E88,Data!$Q$2:$Q$21,0)),9999)/1000)^2/4))</f>
        <v>0.403379838535402</v>
      </c>
      <c r="H88" s="78" t="n">
        <f aca="false">IF((A88="90 R Bend"),(VLOOKUP(E88,Data!$A$2:$G$21,2)),IF((A88="Isolation Valve"),(VLOOKUP(E88,Data!$A$2:$G$21,3)),IF((A88="Non Return Valve"),(VLOOKUP(E88,Data!$A$2:$G$21,7)),IF((A88="Tee - Line"),(VLOOKUP(E88,Data!$A$2:$G$21,4)),IF((A88="Tee - Branch"),(VLOOKUP(E88,Data!$A$2:$G$21,5)),IF((A88="Reducer"),(VLOOKUP(E88,Data!$A$2:$G$21,6)),""))))))</f>
        <v>0.79</v>
      </c>
      <c r="I88" s="79" t="n">
        <f aca="false">IF(E88="","",((((3350000*F88)/(IFERROR(INDEX(Data!$R$2:$R$21,MATCH(E88,Data!$Q$2:$Q$21,0)),9999)^2.63*IFERROR(INDEX(Data!$S$2:$S$21,MATCH(E88,Data!$Q$2:$Q$21,0)),141)))^1.852*100)/1000))</f>
        <v>0.0631827623753063</v>
      </c>
      <c r="J88" s="80" t="n">
        <v>2</v>
      </c>
      <c r="K88" s="81" t="n">
        <f aca="false">IF(AND(I88="",H88=""),"",(J88*I88*H88))</f>
        <v>0.0998287645529839</v>
      </c>
      <c r="L88" s="82"/>
      <c r="M88" s="93" t="s">
        <v>102</v>
      </c>
      <c r="N88" s="93"/>
      <c r="P88" s="84"/>
      <c r="Q88" s="85"/>
      <c r="R88" s="3" t="n">
        <v>6.4</v>
      </c>
    </row>
    <row r="89" customFormat="false" ht="12.75" hidden="false" customHeight="true" outlineLevel="0" collapsed="false">
      <c r="A89" s="86" t="s">
        <v>91</v>
      </c>
      <c r="B89" s="86"/>
      <c r="C89" s="99"/>
      <c r="D89" s="75" t="s">
        <v>50</v>
      </c>
      <c r="E89" s="75" t="n">
        <v>40</v>
      </c>
      <c r="F89" s="76" t="n">
        <f aca="false">R89*0.06309</f>
        <v>0.403776</v>
      </c>
      <c r="G89" s="77" t="n">
        <f aca="false">IF(E89="","",(F89/1000)/(PI()*(IFERROR(INDEX(Data!$R$2:$R$21,MATCH(E89,Data!$Q$2:$Q$21,0)),9999)/1000)^2/4))</f>
        <v>0.403379838535402</v>
      </c>
      <c r="H89" s="78" t="n">
        <f aca="false">IF((A89="90 R Bend"),(VLOOKUP(E89,Data!$A$2:$G$21,2)),IF((A89="Isolation Valve"),(VLOOKUP(E89,Data!$A$2:$G$21,3)),IF((A89="Non Return Valve"),(VLOOKUP(E89,Data!$A$2:$G$21,7)),IF((A89="Tee - Line"),(VLOOKUP(E89,Data!$A$2:$G$21,4)),IF((A89="Tee - Branch"),(VLOOKUP(E89,Data!$A$2:$G$21,5)),IF((A89="Reducer"),(VLOOKUP(E89,Data!$A$2:$G$21,6)),""))))))</f>
        <v>0.53</v>
      </c>
      <c r="I89" s="79" t="n">
        <f aca="false">IF(E89="","",((((3350000*F89)/(IFERROR(INDEX(Data!$R$2:$R$21,MATCH(E89,Data!$Q$2:$Q$21,0)),9999)^2.63*IFERROR(INDEX(Data!$S$2:$S$21,MATCH(E89,Data!$Q$2:$Q$21,0)),141)))^1.852*100)/1000))</f>
        <v>0.0631827623753063</v>
      </c>
      <c r="J89" s="80" t="n">
        <v>2</v>
      </c>
      <c r="K89" s="81" t="n">
        <f aca="false">IF(AND(I89="",H89=""),"",(J89*I89*H89))</f>
        <v>0.0669737281178246</v>
      </c>
      <c r="L89" s="82"/>
      <c r="M89" s="93" t="s">
        <v>102</v>
      </c>
      <c r="N89" s="93"/>
      <c r="P89" s="84"/>
      <c r="Q89" s="85"/>
      <c r="R89" s="3" t="n">
        <v>6.4</v>
      </c>
    </row>
    <row r="90" customFormat="false" ht="12.75" hidden="false" customHeight="true" outlineLevel="0" collapsed="false">
      <c r="A90" s="86" t="s">
        <v>49</v>
      </c>
      <c r="B90" s="86"/>
      <c r="C90" s="99"/>
      <c r="D90" s="75" t="s">
        <v>50</v>
      </c>
      <c r="E90" s="75" t="n">
        <v>40</v>
      </c>
      <c r="F90" s="76" t="n">
        <f aca="false">R90*0.06309</f>
        <v>0.403776</v>
      </c>
      <c r="G90" s="77" t="n">
        <f aca="false">IF(E90="","",(F90/1000)/(PI()*(IFERROR(INDEX(Data!$R$2:$R$21,MATCH(E90,Data!$Q$2:$Q$21,0)),9999)/1000)^2/4))</f>
        <v>0.403379838535402</v>
      </c>
      <c r="H90" s="78" t="n">
        <v>9</v>
      </c>
      <c r="I90" s="79" t="n">
        <f aca="false">IF(E90="","",((((3350000*F90)/(IFERROR(INDEX(Data!$R$2:$R$21,MATCH(E90,Data!$Q$2:$Q$21,0)),9999)^2.63*IFERROR(INDEX(Data!$S$2:$S$21,MATCH(E90,Data!$Q$2:$Q$21,0)),141)))^1.852*100)/1000))</f>
        <v>0.0631827623753063</v>
      </c>
      <c r="J90" s="80" t="n">
        <v>2</v>
      </c>
      <c r="K90" s="81" t="n">
        <f aca="false">IF(AND(I90="",H90=""),"",(J90*I90*H90))</f>
        <v>1.13728972275551</v>
      </c>
      <c r="L90" s="82"/>
      <c r="M90" s="93" t="s">
        <v>102</v>
      </c>
      <c r="N90" s="93"/>
      <c r="P90" s="84"/>
      <c r="Q90" s="85"/>
      <c r="R90" s="3" t="n">
        <v>6.4</v>
      </c>
    </row>
    <row r="91" customFormat="false" ht="12.75" hidden="false" customHeight="true" outlineLevel="0" collapsed="false">
      <c r="A91" s="86" t="s">
        <v>52</v>
      </c>
      <c r="B91" s="86"/>
      <c r="C91" s="99"/>
      <c r="D91" s="75" t="s">
        <v>50</v>
      </c>
      <c r="E91" s="75" t="n">
        <v>65</v>
      </c>
      <c r="F91" s="76" t="n">
        <f aca="false">R91*0.06309</f>
        <v>0.403776</v>
      </c>
      <c r="G91" s="77" t="n">
        <f aca="false">IF(E91="","",(F91/1000)/(PI()*(IFERROR(INDEX(Data!$R$2:$R$21,MATCH(E91,Data!$Q$2:$Q$21,0)),9999)/1000)^2/4))</f>
        <v>0.137710862880734</v>
      </c>
      <c r="H91" s="78" t="n">
        <f aca="false">IF((A91="90 R Bend"),(VLOOKUP(E91,Data!$A$2:$G$21,2)),IF((A91="Isolation Valve"),(VLOOKUP(E91,Data!$A$2:$G$21,3)),IF((A91="Non Return Valve"),(VLOOKUP(E91,Data!$A$2:$G$21,7)),IF((A91="Tee - Line"),(VLOOKUP(E91,Data!$A$2:$G$21,4)),IF((A91="Tee - Branch"),(VLOOKUP(E91,Data!$A$2:$G$21,5)),IF((A91="Reducer"),(VLOOKUP(E91,Data!$A$2:$G$21,6)),""))))))</f>
        <v>1.35</v>
      </c>
      <c r="I91" s="79" t="n">
        <f aca="false">IF(E91="","",((((3350000*F91)/(IFERROR(INDEX(Data!$R$2:$R$21,MATCH(E91,Data!$Q$2:$Q$21,0)),9999)^2.63*IFERROR(INDEX(Data!$S$2:$S$21,MATCH(E91,Data!$Q$2:$Q$21,0)),141)))^1.852*100)/1000))</f>
        <v>0.00455291739295982</v>
      </c>
      <c r="J91" s="80" t="n">
        <v>2</v>
      </c>
      <c r="K91" s="81" t="n">
        <f aca="false">IF(AND(I91="",H91=""),"",(J91*I91*H91))</f>
        <v>0.0122928769609915</v>
      </c>
      <c r="L91" s="82"/>
      <c r="M91" s="93" t="s">
        <v>103</v>
      </c>
      <c r="N91" s="93"/>
      <c r="P91" s="84"/>
      <c r="Q91" s="85"/>
      <c r="R91" s="3" t="n">
        <v>6.4</v>
      </c>
    </row>
    <row r="92" customFormat="false" ht="12.75" hidden="false" customHeight="true" outlineLevel="0" collapsed="false">
      <c r="A92" s="86" t="s">
        <v>49</v>
      </c>
      <c r="B92" s="86"/>
      <c r="C92" s="99"/>
      <c r="D92" s="75" t="s">
        <v>50</v>
      </c>
      <c r="E92" s="75" t="n">
        <v>40</v>
      </c>
      <c r="F92" s="76" t="n">
        <f aca="false">R92*0.06309</f>
        <v>0.403776</v>
      </c>
      <c r="G92" s="77" t="n">
        <f aca="false">IF(E92="","",(F92/1000)/(PI()*(IFERROR(INDEX(Data!$R$2:$R$21,MATCH(E92,Data!$Q$2:$Q$21,0)),9999)/1000)^2/4))</f>
        <v>0.403379838535402</v>
      </c>
      <c r="H92" s="78" t="n">
        <v>9</v>
      </c>
      <c r="I92" s="79" t="n">
        <f aca="false">IF(E92="","",((((3350000*F92)/(IFERROR(INDEX(Data!$R$2:$R$21,MATCH(E92,Data!$Q$2:$Q$21,0)),9999)^2.63*IFERROR(INDEX(Data!$S$2:$S$21,MATCH(E92,Data!$Q$2:$Q$21,0)),141)))^1.852*100)/1000))</f>
        <v>0.0631827623753063</v>
      </c>
      <c r="J92" s="80" t="n">
        <v>2</v>
      </c>
      <c r="K92" s="81" t="n">
        <f aca="false">IF(AND(I92="",H92=""),"",(J92*I92*H92))</f>
        <v>1.13728972275551</v>
      </c>
      <c r="L92" s="82"/>
      <c r="M92" s="93" t="s">
        <v>102</v>
      </c>
      <c r="N92" s="93"/>
      <c r="P92" s="84"/>
      <c r="Q92" s="85"/>
      <c r="R92" s="3" t="n">
        <v>6.4</v>
      </c>
    </row>
    <row r="93" customFormat="false" ht="12.75" hidden="false" customHeight="true" outlineLevel="0" collapsed="false">
      <c r="A93" s="86" t="s">
        <v>52</v>
      </c>
      <c r="B93" s="86"/>
      <c r="C93" s="99"/>
      <c r="D93" s="75" t="s">
        <v>50</v>
      </c>
      <c r="E93" s="75" t="n">
        <v>65</v>
      </c>
      <c r="F93" s="76" t="n">
        <f aca="false">R93*0.06309</f>
        <v>0.403776</v>
      </c>
      <c r="G93" s="77" t="n">
        <f aca="false">IF(E93="","",(F93/1000)/(PI()*(IFERROR(INDEX(Data!$R$2:$R$21,MATCH(E93,Data!$Q$2:$Q$21,0)),9999)/1000)^2/4))</f>
        <v>0.137710862880734</v>
      </c>
      <c r="H93" s="78" t="n">
        <f aca="false">IF((A93="90 R Bend"),(VLOOKUP(E93,Data!$A$2:$G$21,2)),IF((A93="Isolation Valve"),(VLOOKUP(E93,Data!$A$2:$G$21,3)),IF((A93="Non Return Valve"),(VLOOKUP(E93,Data!$A$2:$G$21,7)),IF((A93="Tee - Line"),(VLOOKUP(E93,Data!$A$2:$G$21,4)),IF((A93="Tee - Branch"),(VLOOKUP(E93,Data!$A$2:$G$21,5)),IF((A93="Reducer"),(VLOOKUP(E93,Data!$A$2:$G$21,6)),""))))))</f>
        <v>1.35</v>
      </c>
      <c r="I93" s="79" t="n">
        <f aca="false">IF(E93="","",((((3350000*F93)/(IFERROR(INDEX(Data!$R$2:$R$21,MATCH(E93,Data!$Q$2:$Q$21,0)),9999)^2.63*IFERROR(INDEX(Data!$S$2:$S$21,MATCH(E93,Data!$Q$2:$Q$21,0)),141)))^1.852*100)/1000))</f>
        <v>0.00455291739295982</v>
      </c>
      <c r="J93" s="80" t="n">
        <v>2</v>
      </c>
      <c r="K93" s="81" t="n">
        <f aca="false">IF(AND(I93="",H93=""),"",(J93*I93*H93))</f>
        <v>0.0122928769609915</v>
      </c>
      <c r="L93" s="82"/>
      <c r="M93" s="93" t="s">
        <v>103</v>
      </c>
      <c r="N93" s="93"/>
      <c r="P93" s="84"/>
      <c r="Q93" s="85"/>
      <c r="R93" s="3" t="n">
        <v>6.4</v>
      </c>
    </row>
    <row r="94" customFormat="false" ht="12.75" hidden="false" customHeight="true" outlineLevel="0" collapsed="false">
      <c r="A94" s="86" t="s">
        <v>49</v>
      </c>
      <c r="B94" s="86"/>
      <c r="C94" s="99"/>
      <c r="D94" s="75" t="s">
        <v>50</v>
      </c>
      <c r="E94" s="75" t="n">
        <v>40</v>
      </c>
      <c r="F94" s="76" t="n">
        <f aca="false">R94*0.06309</f>
        <v>0.403776</v>
      </c>
      <c r="G94" s="77" t="n">
        <f aca="false">IF(E94="","",(F94/1000)/(PI()*(IFERROR(INDEX(Data!$R$2:$R$21,MATCH(E94,Data!$Q$2:$Q$21,0)),9999)/1000)^2/4))</f>
        <v>0.403379838535402</v>
      </c>
      <c r="H94" s="78" t="n">
        <v>9</v>
      </c>
      <c r="I94" s="79" t="n">
        <f aca="false">IF(E94="","",((((3350000*F94)/(IFERROR(INDEX(Data!$R$2:$R$21,MATCH(E94,Data!$Q$2:$Q$21,0)),9999)^2.63*IFERROR(INDEX(Data!$S$2:$S$21,MATCH(E94,Data!$Q$2:$Q$21,0)),141)))^1.852*100)/1000))</f>
        <v>0.0631827623753063</v>
      </c>
      <c r="J94" s="80" t="n">
        <v>2</v>
      </c>
      <c r="K94" s="81" t="n">
        <f aca="false">IF(AND(I94="",H94=""),"",(J94*I94*H94))</f>
        <v>1.13728972275551</v>
      </c>
      <c r="L94" s="82"/>
      <c r="M94" s="93" t="s">
        <v>102</v>
      </c>
      <c r="N94" s="93"/>
      <c r="P94" s="84"/>
      <c r="Q94" s="85"/>
      <c r="R94" s="3" t="n">
        <v>6.4</v>
      </c>
    </row>
    <row r="95" customFormat="false" ht="12.75" hidden="false" customHeight="true" outlineLevel="0" collapsed="false">
      <c r="A95" s="86" t="s">
        <v>49</v>
      </c>
      <c r="B95" s="86"/>
      <c r="C95" s="99"/>
      <c r="D95" s="75" t="s">
        <v>50</v>
      </c>
      <c r="E95" s="75" t="n">
        <v>40</v>
      </c>
      <c r="F95" s="76" t="n">
        <f aca="false">R95*0.06309</f>
        <v>0.403776</v>
      </c>
      <c r="G95" s="77" t="n">
        <f aca="false">IF(E95="","",(F95/1000)/(PI()*(IFERROR(INDEX(Data!$R$2:$R$21,MATCH(E95,Data!$Q$2:$Q$21,0)),9999)/1000)^2/4))</f>
        <v>0.403379838535402</v>
      </c>
      <c r="H95" s="78" t="n">
        <v>9</v>
      </c>
      <c r="I95" s="79" t="n">
        <f aca="false">IF(E95="","",((((3350000*F95)/(IFERROR(INDEX(Data!$R$2:$R$21,MATCH(E95,Data!$Q$2:$Q$21,0)),9999)^2.63*IFERROR(INDEX(Data!$S$2:$S$21,MATCH(E95,Data!$Q$2:$Q$21,0)),141)))^1.852*100)/1000))</f>
        <v>0.0631827623753063</v>
      </c>
      <c r="J95" s="80" t="n">
        <v>2</v>
      </c>
      <c r="K95" s="81" t="n">
        <f aca="false">IF(AND(I95="",H95=""),"",(J95*I95*H95))</f>
        <v>1.13728972275551</v>
      </c>
      <c r="L95" s="82" t="n">
        <f aca="false">+SUM(K53:K95)</f>
        <v>46.0982524377941</v>
      </c>
      <c r="M95" s="101"/>
      <c r="N95" s="101"/>
      <c r="P95" s="84"/>
      <c r="Q95" s="85"/>
      <c r="R95" s="3" t="n">
        <v>6.4</v>
      </c>
      <c r="T95" s="47" t="n">
        <f aca="false">L95*0.334553</f>
        <v>15.4223086478213</v>
      </c>
      <c r="U95" s="48" t="s">
        <v>20</v>
      </c>
    </row>
    <row r="96" customFormat="false" ht="12.75" hidden="false" customHeight="true" outlineLevel="0" collapsed="false">
      <c r="A96" s="98"/>
      <c r="B96" s="98"/>
      <c r="C96" s="99"/>
      <c r="D96" s="75"/>
      <c r="E96" s="75"/>
      <c r="F96" s="76"/>
      <c r="G96" s="77" t="str">
        <f aca="false">IF(E96="","",(F96/1000)/(PI()*(IFERROR(INDEX(Data!$R$2:$R$21,MATCH(E96,Data!$Q$2:$Q$21,0)),9999)/1000)^2/4))</f>
        <v/>
      </c>
      <c r="H96" s="78" t="str">
        <f aca="false">IF((A96="90 R Bend"),(VLOOKUP(E96,Data!$A$2:$G$21,2)),IF((A96="Isolation Valve"),(VLOOKUP(E96,Data!$A$2:$G$21,3)),IF((A96="Non Return Valve"),(VLOOKUP(E96,Data!$A$2:$G$21,7)),IF((A96="Tee - Line"),(VLOOKUP(E96,Data!$A$2:$G$21,4)),IF((A96="Tee - Branch"),(VLOOKUP(E96,Data!$A$2:$G$21,5)),IF((A96="Reducer"),(VLOOKUP(E96,Data!$A$2:$G$21,6)),""))))))</f>
        <v/>
      </c>
      <c r="I96" s="79" t="str">
        <f aca="false">IF(E96="","",((((3350000*F96)/(IFERROR(INDEX(Data!$R$2:$R$21,MATCH(E96,Data!$Q$2:$Q$21,0)),9999)^2.63*IFERROR(INDEX(Data!$S$2:$S$21,MATCH(E96,Data!$Q$2:$Q$21,0)),141)))^1.852*100)/1000))</f>
        <v/>
      </c>
      <c r="J96" s="80"/>
      <c r="K96" s="81" t="str">
        <f aca="false">IF(AND(I96="",H96=""),"",(J96*I96*H96))</f>
        <v/>
      </c>
      <c r="L96" s="82" t="n">
        <f aca="false">L95+L51</f>
        <v>91.140879147588</v>
      </c>
      <c r="M96" s="83"/>
      <c r="N96" s="83"/>
      <c r="P96" s="84"/>
      <c r="Q96" s="85"/>
    </row>
    <row r="97" customFormat="false" ht="12.75" hidden="false" customHeight="true" outlineLevel="0" collapsed="false">
      <c r="A97" s="73" t="s">
        <v>104</v>
      </c>
      <c r="B97" s="73"/>
      <c r="C97" s="100"/>
      <c r="D97" s="75"/>
      <c r="E97" s="75"/>
      <c r="F97" s="76"/>
      <c r="G97" s="77" t="str">
        <f aca="false">IF(E97="","",(F97/1000)/(PI()*(IFERROR(INDEX(Data!$R$2:$R$21,MATCH(E97,Data!$Q$2:$Q$21,0)),9999)/1000)^2/4))</f>
        <v/>
      </c>
      <c r="H97" s="78" t="str">
        <f aca="false">IF((A97="90 R Bend"),(VLOOKUP(E97,Data!$A$2:$G$21,2)),IF((A97="Isolation Valve"),(VLOOKUP(E97,Data!$A$2:$G$21,3)),IF((A97="Non Return Valve"),(VLOOKUP(E97,Data!$A$2:$G$21,7)),IF((A97="Tee - Line"),(VLOOKUP(E97,Data!$A$2:$G$21,4)),IF((A97="Tee - Branch"),(VLOOKUP(E97,Data!$A$2:$G$21,5)),IF((A97="Reducer"),(VLOOKUP(E97,Data!$A$2:$G$21,6)),""))))))</f>
        <v/>
      </c>
      <c r="I97" s="79" t="str">
        <f aca="false">IF(E97="","",((((3350000*F97)/(IFERROR(INDEX(Data!$R$2:$R$21,MATCH(E97,Data!$Q$2:$Q$21,0)),9999)^2.63*IFERROR(INDEX(Data!$S$2:$S$21,MATCH(E97,Data!$Q$2:$Q$21,0)),141)))^1.852*100)/1000))</f>
        <v/>
      </c>
      <c r="J97" s="80"/>
      <c r="K97" s="81" t="str">
        <f aca="false">IF(AND(I97="",H97=""),"",(J97*I97*H97))</f>
        <v/>
      </c>
      <c r="L97" s="82"/>
      <c r="M97" s="83"/>
      <c r="N97" s="83"/>
      <c r="P97" s="84"/>
      <c r="Q97" s="85"/>
    </row>
    <row r="98" customFormat="false" ht="12.75" hidden="false" customHeight="true" outlineLevel="0" collapsed="false">
      <c r="A98" s="86" t="s">
        <v>60</v>
      </c>
      <c r="B98" s="86"/>
      <c r="C98" s="99"/>
      <c r="D98" s="75" t="s">
        <v>50</v>
      </c>
      <c r="E98" s="75" t="n">
        <v>40</v>
      </c>
      <c r="F98" s="76" t="n">
        <f aca="false">R98*0.06309</f>
        <v>0.403776</v>
      </c>
      <c r="G98" s="77" t="n">
        <f aca="false">IF(E98="","",(F98/1000)/(PI()*(IFERROR(INDEX(Data!$R$2:$R$21,MATCH(E98,Data!$Q$2:$Q$21,0)),9999)/1000)^2/4))</f>
        <v>0.403379838535402</v>
      </c>
      <c r="H98" s="78" t="str">
        <f aca="false">IF((A98="90 R Bend"),(VLOOKUP(E98,Data!$A$2:$G$21,2)),IF((A98="Isolation Valve"),(VLOOKUP(E98,Data!$A$2:$G$21,3)),IF((A98="Non Return Valve"),(VLOOKUP(E98,Data!$A$2:$G$21,7)),IF((A98="Tee - Line"),(VLOOKUP(E98,Data!$A$2:$G$21,4)),IF((A98="Tee - Branch"),(VLOOKUP(E98,Data!$A$2:$G$21,5)),IF((A98="Reducer"),(VLOOKUP(E98,Data!$A$2:$G$21,6)),""))))))</f>
        <v/>
      </c>
      <c r="I98" s="79" t="n">
        <f aca="false">IF(E98="","",((((3350000*F98)/(IFERROR(INDEX(Data!$R$2:$R$21,MATCH(E98,Data!$Q$2:$Q$21,0)),9999)^2.63*IFERROR(INDEX(Data!$S$2:$S$21,MATCH(E98,Data!$Q$2:$Q$21,0)),141)))^1.852*100)/1000))</f>
        <v>0.0631827623753063</v>
      </c>
      <c r="J98" s="80" t="n">
        <v>1</v>
      </c>
      <c r="K98" s="96" t="n">
        <v>15</v>
      </c>
      <c r="L98" s="82"/>
      <c r="M98" s="83" t="s">
        <v>105</v>
      </c>
      <c r="N98" s="83"/>
      <c r="P98" s="84"/>
      <c r="Q98" s="85"/>
      <c r="R98" s="3" t="n">
        <v>6.4</v>
      </c>
    </row>
    <row r="99" customFormat="false" ht="12.75" hidden="false" customHeight="true" outlineLevel="0" collapsed="false">
      <c r="A99" s="86" t="s">
        <v>57</v>
      </c>
      <c r="B99" s="86"/>
      <c r="C99" s="99"/>
      <c r="D99" s="75" t="s">
        <v>50</v>
      </c>
      <c r="E99" s="75" t="n">
        <v>40</v>
      </c>
      <c r="F99" s="76" t="n">
        <f aca="false">R99*0.06309</f>
        <v>0.403776</v>
      </c>
      <c r="G99" s="77" t="n">
        <f aca="false">IF(E99="","",(F99/1000)/(PI()*(IFERROR(INDEX(Data!$R$2:$R$21,MATCH(E99,Data!$Q$2:$Q$21,0)),9999)/1000)^2/4))</f>
        <v>0.403379838535402</v>
      </c>
      <c r="H99" s="78" t="n">
        <f aca="false">IF((A99="90 R Bend"),(VLOOKUP(E99,Data!$A$2:$G$21,2)),IF((A99="Isolation Valve"),(VLOOKUP(E99,Data!$A$2:$G$21,3)),IF((A99="Non Return Valve"),(VLOOKUP(E99,Data!$A$2:$G$21,7)),IF((A99="Tee - Line"),(VLOOKUP(E99,Data!$A$2:$G$21,4)),IF((A99="Tee - Branch"),(VLOOKUP(E99,Data!$A$2:$G$21,5)),IF((A99="Reducer"),(VLOOKUP(E99,Data!$A$2:$G$21,6)),""))))))</f>
        <v>0.53</v>
      </c>
      <c r="I99" s="79" t="n">
        <f aca="false">IF(E99="","",((((3350000*F99)/(IFERROR(INDEX(Data!$R$2:$R$21,MATCH(E99,Data!$Q$2:$Q$21,0)),9999)^2.63*IFERROR(INDEX(Data!$S$2:$S$21,MATCH(E99,Data!$Q$2:$Q$21,0)),141)))^1.852*100)/1000))</f>
        <v>0.0631827623753063</v>
      </c>
      <c r="J99" s="80" t="n">
        <v>1</v>
      </c>
      <c r="K99" s="81" t="n">
        <f aca="false">IF(AND(I99="",H99=""),"",(J99*I99*H99))</f>
        <v>0.0334868640589123</v>
      </c>
      <c r="L99" s="82"/>
      <c r="M99" s="83" t="s">
        <v>106</v>
      </c>
      <c r="N99" s="83"/>
      <c r="P99" s="84"/>
      <c r="Q99" s="85"/>
      <c r="R99" s="3" t="n">
        <v>6.4</v>
      </c>
    </row>
    <row r="100" customFormat="false" ht="12.75" hidden="false" customHeight="true" outlineLevel="0" collapsed="false">
      <c r="A100" s="86" t="s">
        <v>107</v>
      </c>
      <c r="B100" s="86"/>
      <c r="C100" s="99"/>
      <c r="D100" s="75" t="s">
        <v>50</v>
      </c>
      <c r="E100" s="75" t="n">
        <v>40</v>
      </c>
      <c r="F100" s="76" t="n">
        <f aca="false">R100*0.06309</f>
        <v>0.403776</v>
      </c>
      <c r="G100" s="77" t="n">
        <f aca="false">IF(E100="","",(F100/1000)/(PI()*(IFERROR(INDEX(Data!$R$2:$R$21,MATCH(E100,Data!$Q$2:$Q$21,0)),9999)/1000)^2/4))</f>
        <v>0.403379838535402</v>
      </c>
      <c r="H100" s="78" t="str">
        <f aca="false">IF((A100="90 R Bend"),(VLOOKUP(E100,Data!$A$2:$G$21,2)),IF((A100="Isolation Valve"),(VLOOKUP(E100,Data!$A$2:$G$21,3)),IF((A100="Non Return Valve"),(VLOOKUP(E100,Data!$A$2:$G$21,7)),IF((A100="Tee - Line"),(VLOOKUP(E100,Data!$A$2:$G$21,4)),IF((A100="Tee - Branch"),(VLOOKUP(E100,Data!$A$2:$G$21,5)),IF((A100="Reducer"),(VLOOKUP(E100,Data!$A$2:$G$21,6)),""))))))</f>
        <v/>
      </c>
      <c r="I100" s="79" t="n">
        <f aca="false">IF(E100="","",((((3350000*F100)/(IFERROR(INDEX(Data!$R$2:$R$21,MATCH(E100,Data!$Q$2:$Q$21,0)),9999)^2.63*IFERROR(INDEX(Data!$S$2:$S$21,MATCH(E100,Data!$Q$2:$Q$21,0)),141)))^1.852*100)/1000))</f>
        <v>0.0631827623753063</v>
      </c>
      <c r="J100" s="80" t="n">
        <v>1</v>
      </c>
      <c r="K100" s="96" t="n">
        <v>20</v>
      </c>
      <c r="L100" s="82"/>
      <c r="M100" s="83" t="s">
        <v>108</v>
      </c>
      <c r="N100" s="83"/>
      <c r="P100" s="84"/>
      <c r="Q100" s="85"/>
      <c r="R100" s="3" t="n">
        <v>6.4</v>
      </c>
    </row>
    <row r="101" customFormat="false" ht="12.75" hidden="false" customHeight="true" outlineLevel="0" collapsed="false">
      <c r="A101" s="86" t="s">
        <v>57</v>
      </c>
      <c r="B101" s="86"/>
      <c r="C101" s="99"/>
      <c r="D101" s="75" t="s">
        <v>50</v>
      </c>
      <c r="E101" s="75" t="n">
        <v>40</v>
      </c>
      <c r="F101" s="76" t="n">
        <f aca="false">R101*0.06309</f>
        <v>0.403776</v>
      </c>
      <c r="G101" s="77" t="n">
        <f aca="false">IF(E101="","",(F101/1000)/(PI()*(IFERROR(INDEX(Data!$R$2:$R$21,MATCH(E101,Data!$Q$2:$Q$21,0)),9999)/1000)^2/4))</f>
        <v>0.403379838535402</v>
      </c>
      <c r="H101" s="78" t="n">
        <f aca="false">IF((A101="90 R Bend"),(VLOOKUP(E101,Data!$A$2:$G$21,2)),IF((A101="Isolation Valve"),(VLOOKUP(E101,Data!$A$2:$G$21,3)),IF((A101="Non Return Valve"),(VLOOKUP(E101,Data!$A$2:$G$21,7)),IF((A101="Tee - Line"),(VLOOKUP(E101,Data!$A$2:$G$21,4)),IF((A101="Tee - Branch"),(VLOOKUP(E101,Data!$A$2:$G$21,5)),IF((A101="Reducer"),(VLOOKUP(E101,Data!$A$2:$G$21,6)),""))))))</f>
        <v>0.53</v>
      </c>
      <c r="I101" s="79" t="n">
        <f aca="false">IF(E101="","",((((3350000*F101)/(IFERROR(INDEX(Data!$R$2:$R$21,MATCH(E101,Data!$Q$2:$Q$21,0)),9999)^2.63*IFERROR(INDEX(Data!$S$2:$S$21,MATCH(E101,Data!$Q$2:$Q$21,0)),141)))^1.852*100)/1000))</f>
        <v>0.0631827623753063</v>
      </c>
      <c r="J101" s="80" t="n">
        <v>1</v>
      </c>
      <c r="K101" s="81" t="n">
        <f aca="false">IF(AND(I101="",H101=""),"",(J101*I101*H101))</f>
        <v>0.0334868640589123</v>
      </c>
      <c r="L101" s="82"/>
      <c r="M101" s="83" t="s">
        <v>109</v>
      </c>
      <c r="N101" s="83"/>
      <c r="P101" s="84"/>
      <c r="Q101" s="85"/>
      <c r="R101" s="3" t="n">
        <v>6.4</v>
      </c>
    </row>
    <row r="102" customFormat="false" ht="12.75" hidden="false" customHeight="true" outlineLevel="0" collapsed="false">
      <c r="A102" s="86" t="s">
        <v>55</v>
      </c>
      <c r="B102" s="86"/>
      <c r="C102" s="99"/>
      <c r="D102" s="75" t="s">
        <v>50</v>
      </c>
      <c r="E102" s="75" t="n">
        <v>40</v>
      </c>
      <c r="F102" s="76" t="n">
        <f aca="false">R102*0.06309</f>
        <v>0.403776</v>
      </c>
      <c r="G102" s="77" t="n">
        <f aca="false">IF(E102="","",(F102/1000)/(PI()*(IFERROR(INDEX(Data!$R$2:$R$21,MATCH(E102,Data!$Q$2:$Q$21,0)),9999)/1000)^2/4))</f>
        <v>0.403379838535402</v>
      </c>
      <c r="H102" s="78" t="n">
        <f aca="false">IF((A102="90 R Bend"),(VLOOKUP(E102,Data!$A$2:$G$21,2)),IF((A102="Isolation Valve"),(VLOOKUP(E102,Data!$A$2:$G$21,3)),IF((A102="Non Return Valve"),(VLOOKUP(E102,Data!$A$2:$G$21,7)),IF((A102="Tee - Line"),(VLOOKUP(E102,Data!$A$2:$G$21,4)),IF((A102="Tee - Branch"),(VLOOKUP(E102,Data!$A$2:$G$21,5)),IF((A102="Reducer"),(VLOOKUP(E102,Data!$A$2:$G$21,6)),""))))))</f>
        <v>0.79</v>
      </c>
      <c r="I102" s="79" t="n">
        <f aca="false">IF(E102="","",((((3350000*F102)/(IFERROR(INDEX(Data!$R$2:$R$21,MATCH(E102,Data!$Q$2:$Q$21,0)),9999)^2.63*IFERROR(INDEX(Data!$S$2:$S$21,MATCH(E102,Data!$Q$2:$Q$21,0)),141)))^1.852*100)/1000))</f>
        <v>0.0631827623753063</v>
      </c>
      <c r="J102" s="80" t="n">
        <v>1</v>
      </c>
      <c r="K102" s="81" t="n">
        <f aca="false">IF(AND(I102="",H102=""),"",(J102*I102*H102))</f>
        <v>0.0499143822764919</v>
      </c>
      <c r="L102" s="82"/>
      <c r="M102" s="83" t="s">
        <v>110</v>
      </c>
      <c r="N102" s="83"/>
      <c r="P102" s="84"/>
      <c r="Q102" s="85"/>
      <c r="R102" s="3" t="n">
        <v>6.4</v>
      </c>
    </row>
    <row r="103" customFormat="false" ht="12.75" hidden="false" customHeight="true" outlineLevel="0" collapsed="false">
      <c r="A103" s="86" t="s">
        <v>57</v>
      </c>
      <c r="B103" s="86"/>
      <c r="C103" s="99"/>
      <c r="D103" s="75" t="s">
        <v>50</v>
      </c>
      <c r="E103" s="75" t="n">
        <v>40</v>
      </c>
      <c r="F103" s="76" t="n">
        <f aca="false">R103*0.06309</f>
        <v>0.403776</v>
      </c>
      <c r="G103" s="77" t="n">
        <f aca="false">IF(E103="","",(F103/1000)/(PI()*(IFERROR(INDEX(Data!$R$2:$R$21,MATCH(E103,Data!$Q$2:$Q$21,0)),9999)/1000)^2/4))</f>
        <v>0.403379838535402</v>
      </c>
      <c r="H103" s="78" t="n">
        <f aca="false">IF((A103="90 R Bend"),(VLOOKUP(E103,Data!$A$2:$G$21,2)),IF((A103="Isolation Valve"),(VLOOKUP(E103,Data!$A$2:$G$21,3)),IF((A103="Non Return Valve"),(VLOOKUP(E103,Data!$A$2:$G$21,7)),IF((A103="Tee - Line"),(VLOOKUP(E103,Data!$A$2:$G$21,4)),IF((A103="Tee - Branch"),(VLOOKUP(E103,Data!$A$2:$G$21,5)),IF((A103="Reducer"),(VLOOKUP(E103,Data!$A$2:$G$21,6)),""))))))</f>
        <v>0.53</v>
      </c>
      <c r="I103" s="79" t="n">
        <f aca="false">IF(E103="","",((((3350000*F103)/(IFERROR(INDEX(Data!$R$2:$R$21,MATCH(E103,Data!$Q$2:$Q$21,0)),9999)^2.63*IFERROR(INDEX(Data!$S$2:$S$21,MATCH(E103,Data!$Q$2:$Q$21,0)),141)))^1.852*100)/1000))</f>
        <v>0.0631827623753063</v>
      </c>
      <c r="J103" s="80" t="n">
        <v>1</v>
      </c>
      <c r="K103" s="81" t="n">
        <f aca="false">IF(AND(I103="",H103=""),"",(J103*I103*H103))</f>
        <v>0.0334868640589123</v>
      </c>
      <c r="L103" s="82"/>
      <c r="M103" s="83" t="s">
        <v>111</v>
      </c>
      <c r="N103" s="83"/>
      <c r="P103" s="84"/>
      <c r="Q103" s="85"/>
      <c r="R103" s="3" t="n">
        <v>6.4</v>
      </c>
    </row>
    <row r="104" customFormat="false" ht="12.75" hidden="false" customHeight="true" outlineLevel="0" collapsed="false">
      <c r="A104" s="86" t="s">
        <v>112</v>
      </c>
      <c r="B104" s="86"/>
      <c r="C104" s="99"/>
      <c r="D104" s="75" t="s">
        <v>50</v>
      </c>
      <c r="E104" s="75" t="n">
        <v>40</v>
      </c>
      <c r="F104" s="76" t="n">
        <f aca="false">R104*0.06309</f>
        <v>0.403776</v>
      </c>
      <c r="G104" s="77" t="n">
        <f aca="false">IF(E104="","",(F104/1000)/(PI()*(IFERROR(INDEX(Data!$R$2:$R$21,MATCH(E104,Data!$Q$2:$Q$21,0)),9999)/1000)^2/4))</f>
        <v>0.403379838535402</v>
      </c>
      <c r="H104" s="78" t="str">
        <f aca="false">IF((A104="90 R Bend"),(VLOOKUP(E104,Data!$A$2:$G$21,2)),IF((A104="Isolation Valve"),(VLOOKUP(E104,Data!$A$2:$G$21,3)),IF((A104="Non Return Valve"),(VLOOKUP(E104,Data!$A$2:$G$21,7)),IF((A104="Tee - Line"),(VLOOKUP(E104,Data!$A$2:$G$21,4)),IF((A104="Tee - Branch"),(VLOOKUP(E104,Data!$A$2:$G$21,5)),IF((A104="Reducer"),(VLOOKUP(E104,Data!$A$2:$G$21,6)),""))))))</f>
        <v/>
      </c>
      <c r="I104" s="79" t="n">
        <f aca="false">IF(E104="","",((((3350000*F104)/(IFERROR(INDEX(Data!$R$2:$R$21,MATCH(E104,Data!$Q$2:$Q$21,0)),9999)^2.63*IFERROR(INDEX(Data!$S$2:$S$21,MATCH(E104,Data!$Q$2:$Q$21,0)),141)))^1.852*100)/1000))</f>
        <v>0.0631827623753063</v>
      </c>
      <c r="J104" s="80" t="n">
        <v>1</v>
      </c>
      <c r="K104" s="96" t="n">
        <v>20</v>
      </c>
      <c r="L104" s="82"/>
      <c r="M104" s="83" t="s">
        <v>113</v>
      </c>
      <c r="N104" s="83"/>
      <c r="P104" s="84"/>
      <c r="Q104" s="85"/>
      <c r="R104" s="3" t="n">
        <v>6.4</v>
      </c>
    </row>
    <row r="105" customFormat="false" ht="12.75" hidden="false" customHeight="true" outlineLevel="0" collapsed="false">
      <c r="A105" s="86" t="s">
        <v>57</v>
      </c>
      <c r="B105" s="86"/>
      <c r="C105" s="99"/>
      <c r="D105" s="75" t="s">
        <v>50</v>
      </c>
      <c r="E105" s="75" t="n">
        <v>40</v>
      </c>
      <c r="F105" s="76" t="n">
        <f aca="false">R105*0.06309</f>
        <v>0.403776</v>
      </c>
      <c r="G105" s="77" t="n">
        <f aca="false">IF(E105="","",(F105/1000)/(PI()*(IFERROR(INDEX(Data!$R$2:$R$21,MATCH(E105,Data!$Q$2:$Q$21,0)),9999)/1000)^2/4))</f>
        <v>0.403379838535402</v>
      </c>
      <c r="H105" s="78" t="n">
        <f aca="false">IF((A105="90 R Bend"),(VLOOKUP(E105,Data!$A$2:$G$21,2)),IF((A105="Isolation Valve"),(VLOOKUP(E105,Data!$A$2:$G$21,3)),IF((A105="Non Return Valve"),(VLOOKUP(E105,Data!$A$2:$G$21,7)),IF((A105="Tee - Line"),(VLOOKUP(E105,Data!$A$2:$G$21,4)),IF((A105="Tee - Branch"),(VLOOKUP(E105,Data!$A$2:$G$21,5)),IF((A105="Reducer"),(VLOOKUP(E105,Data!$A$2:$G$21,6)),""))))))</f>
        <v>0.53</v>
      </c>
      <c r="I105" s="79" t="n">
        <f aca="false">IF(E105="","",((((3350000*F105)/(IFERROR(INDEX(Data!$R$2:$R$21,MATCH(E105,Data!$Q$2:$Q$21,0)),9999)^2.63*IFERROR(INDEX(Data!$S$2:$S$21,MATCH(E105,Data!$Q$2:$Q$21,0)),141)))^1.852*100)/1000))</f>
        <v>0.0631827623753063</v>
      </c>
      <c r="J105" s="80" t="n">
        <v>1</v>
      </c>
      <c r="K105" s="81" t="n">
        <f aca="false">IF(AND(I105="",H105=""),"",(J105*I105*H105))</f>
        <v>0.0334868640589123</v>
      </c>
      <c r="L105" s="82"/>
      <c r="M105" s="83" t="s">
        <v>111</v>
      </c>
      <c r="N105" s="83"/>
      <c r="P105" s="84"/>
      <c r="Q105" s="85"/>
      <c r="R105" s="3" t="n">
        <v>6.4</v>
      </c>
    </row>
    <row r="106" customFormat="false" ht="12.75" hidden="false" customHeight="true" outlineLevel="0" collapsed="false">
      <c r="A106" s="86" t="s">
        <v>55</v>
      </c>
      <c r="B106" s="86"/>
      <c r="C106" s="99"/>
      <c r="D106" s="75" t="s">
        <v>50</v>
      </c>
      <c r="E106" s="75" t="n">
        <v>40</v>
      </c>
      <c r="F106" s="76" t="n">
        <f aca="false">R106*0.06309</f>
        <v>0.403776</v>
      </c>
      <c r="G106" s="77" t="n">
        <f aca="false">IF(E106="","",(F106/1000)/(PI()*(IFERROR(INDEX(Data!$R$2:$R$21,MATCH(E106,Data!$Q$2:$Q$21,0)),9999)/1000)^2/4))</f>
        <v>0.403379838535402</v>
      </c>
      <c r="H106" s="78" t="n">
        <f aca="false">IF((A106="90 R Bend"),(VLOOKUP(E106,Data!$A$2:$G$21,2)),IF((A106="Isolation Valve"),(VLOOKUP(E106,Data!$A$2:$G$21,3)),IF((A106="Non Return Valve"),(VLOOKUP(E106,Data!$A$2:$G$21,7)),IF((A106="Tee - Line"),(VLOOKUP(E106,Data!$A$2:$G$21,4)),IF((A106="Tee - Branch"),(VLOOKUP(E106,Data!$A$2:$G$21,5)),IF((A106="Reducer"),(VLOOKUP(E106,Data!$A$2:$G$21,6)),""))))))</f>
        <v>0.79</v>
      </c>
      <c r="I106" s="79" t="n">
        <f aca="false">IF(E106="","",((((3350000*F106)/(IFERROR(INDEX(Data!$R$2:$R$21,MATCH(E106,Data!$Q$2:$Q$21,0)),9999)^2.63*IFERROR(INDEX(Data!$S$2:$S$21,MATCH(E106,Data!$Q$2:$Q$21,0)),141)))^1.852*100)/1000))</f>
        <v>0.0631827623753063</v>
      </c>
      <c r="J106" s="80" t="n">
        <v>1</v>
      </c>
      <c r="K106" s="81" t="n">
        <f aca="false">IF(AND(I106="",H106=""),"",(J106*I106*H106))</f>
        <v>0.0499143822764919</v>
      </c>
      <c r="L106" s="82"/>
      <c r="M106" s="83" t="s">
        <v>110</v>
      </c>
      <c r="N106" s="83"/>
      <c r="P106" s="84"/>
      <c r="Q106" s="85"/>
      <c r="R106" s="3" t="n">
        <v>6.4</v>
      </c>
    </row>
    <row r="107" customFormat="false" ht="12.75" hidden="false" customHeight="true" outlineLevel="0" collapsed="false">
      <c r="A107" s="86" t="s">
        <v>93</v>
      </c>
      <c r="B107" s="86"/>
      <c r="C107" s="99"/>
      <c r="D107" s="75" t="s">
        <v>50</v>
      </c>
      <c r="E107" s="75" t="n">
        <v>40</v>
      </c>
      <c r="F107" s="76" t="n">
        <f aca="false">R107*0.06309</f>
        <v>0.403776</v>
      </c>
      <c r="G107" s="77" t="n">
        <f aca="false">IF(E107="","",(F107/1000)/(PI()*(IFERROR(INDEX(Data!$R$2:$R$21,MATCH(E107,Data!$Q$2:$Q$21,0)),9999)/1000)^2/4))</f>
        <v>0.403379838535402</v>
      </c>
      <c r="H107" s="78" t="str">
        <f aca="false">IF((A107="90 R Bend"),(VLOOKUP(E107,Data!$A$2:$G$21,2)),IF((A107="Isolation Valve"),(VLOOKUP(E107,Data!$A$2:$G$21,3)),IF((A107="Non Return Valve"),(VLOOKUP(E107,Data!$A$2:$G$21,7)),IF((A107="Tee - Line"),(VLOOKUP(E107,Data!$A$2:$G$21,4)),IF((A107="Tee - Branch"),(VLOOKUP(E107,Data!$A$2:$G$21,5)),IF((A107="Reducer"),(VLOOKUP(E107,Data!$A$2:$G$21,6)),""))))))</f>
        <v/>
      </c>
      <c r="I107" s="79" t="n">
        <f aca="false">IF(E107="","",((((3350000*F107)/(IFERROR(INDEX(Data!$R$2:$R$21,MATCH(E107,Data!$Q$2:$Q$21,0)),9999)^2.63*IFERROR(INDEX(Data!$S$2:$S$21,MATCH(E107,Data!$Q$2:$Q$21,0)),141)))^1.852*100)/1000))</f>
        <v>0.0631827623753063</v>
      </c>
      <c r="J107" s="80" t="n">
        <v>1</v>
      </c>
      <c r="K107" s="96" t="n">
        <v>5</v>
      </c>
      <c r="L107" s="82" t="n">
        <f aca="false">+SUM(K98:K107)</f>
        <v>60.2337762207886</v>
      </c>
      <c r="M107" s="83" t="s">
        <v>114</v>
      </c>
      <c r="N107" s="83"/>
      <c r="P107" s="84"/>
      <c r="Q107" s="85"/>
      <c r="R107" s="3" t="n">
        <v>6.4</v>
      </c>
      <c r="T107" s="47" t="n">
        <f aca="false">L107*0.334553</f>
        <v>20.1513905359935</v>
      </c>
      <c r="U107" s="48" t="s">
        <v>20</v>
      </c>
    </row>
    <row r="108" customFormat="false" ht="12.75" hidden="false" customHeight="true" outlineLevel="0" collapsed="false">
      <c r="A108" s="98"/>
      <c r="B108" s="98"/>
      <c r="C108" s="99"/>
      <c r="D108" s="75"/>
      <c r="E108" s="75"/>
      <c r="F108" s="76"/>
      <c r="G108" s="77" t="str">
        <f aca="false">IF(E108="","",(F108/1000)/(PI()*(IFERROR(INDEX(Data!$R$2:$R$21,MATCH(E108,Data!$Q$2:$Q$21,0)),9999)/1000)^2/4))</f>
        <v/>
      </c>
      <c r="H108" s="78" t="str">
        <f aca="false">IF((A108="90 R Bend"),(VLOOKUP(E108,Data!$A$2:$G$21,2)),IF((A108="Isolation Valve"),(VLOOKUP(E108,Data!$A$2:$G$21,3)),IF((A108="Non Return Valve"),(VLOOKUP(E108,Data!$A$2:$G$21,7)),IF((A108="Tee - Line"),(VLOOKUP(E108,Data!$A$2:$G$21,4)),IF((A108="Tee - Branch"),(VLOOKUP(E108,Data!$A$2:$G$21,5)),IF((A108="Reducer"),(VLOOKUP(E108,Data!$A$2:$G$21,6)),""))))))</f>
        <v/>
      </c>
      <c r="I108" s="79" t="str">
        <f aca="false">IF(E108="","",((((3350000*F108)/(IFERROR(INDEX(Data!$R$2:$R$21,MATCH(E108,Data!$Q$2:$Q$21,0)),9999)^2.63*IFERROR(INDEX(Data!$S$2:$S$21,MATCH(E108,Data!$Q$2:$Q$21,0)),141)))^1.852*100)/1000))</f>
        <v/>
      </c>
      <c r="J108" s="80"/>
      <c r="K108" s="81" t="str">
        <f aca="false">IF(AND(I108="",H108=""),"",(J108*I108*H108))</f>
        <v/>
      </c>
      <c r="L108" s="82" t="n">
        <f aca="false">L96+L107</f>
        <v>151.374655368377</v>
      </c>
      <c r="M108" s="83"/>
      <c r="N108" s="83"/>
      <c r="P108" s="84"/>
      <c r="Q108" s="85"/>
      <c r="T108" s="47" t="n">
        <f aca="false">L108*0.334553</f>
        <v>50.6428450774565</v>
      </c>
      <c r="U108" s="48" t="s">
        <v>20</v>
      </c>
    </row>
    <row r="109" customFormat="false" ht="12.75" hidden="false" customHeight="true" outlineLevel="0" collapsed="false">
      <c r="A109" s="98"/>
      <c r="B109" s="98"/>
      <c r="C109" s="99"/>
      <c r="D109" s="75"/>
      <c r="E109" s="102"/>
      <c r="F109" s="103"/>
      <c r="G109" s="104" t="str">
        <f aca="false">IF(E109="","",(F109/1000)/(PI()*(IFERROR(INDEX(Data!$R$2:$R$21,MATCH(E109,Data!$Q$2:$Q$21,0)),9999)/1000)^2/4))</f>
        <v/>
      </c>
      <c r="H109" s="78" t="str">
        <f aca="false">IF((A109="90 R Bend"),(VLOOKUP(E109,Data!$A$2:$G$21,2)),IF((A109="Isolation Valve"),(VLOOKUP(E109,Data!$A$2:$G$21,3)),IF((A109="Non Return Valve"),(VLOOKUP(E109,Data!$A$2:$G$21,7)),IF((A109="Tee - Line"),(VLOOKUP(E109,Data!$A$2:$G$21,4)),IF((A109="Tee - Branch"),(VLOOKUP(E109,Data!$A$2:$G$21,5)),IF((A109="Reducer"),(VLOOKUP(E109,Data!$A$2:$G$21,6)),""))))))</f>
        <v/>
      </c>
      <c r="I109" s="79" t="str">
        <f aca="false">IF(E109="","",((((3350000*F109)/(IFERROR(INDEX(Data!$R$2:$R$21,MATCH(E109,Data!$Q$2:$Q$21,0)),9999)^2.63*IFERROR(INDEX(Data!$S$2:$S$21,MATCH(E109,Data!$Q$2:$Q$21,0)),141)))^1.852*100)/1000))</f>
        <v/>
      </c>
      <c r="J109" s="80"/>
      <c r="K109" s="81" t="str">
        <f aca="false">IF(AND(I109="",H109=""),"",(J109*I109*H109))</f>
        <v/>
      </c>
      <c r="L109" s="82"/>
      <c r="M109" s="83"/>
      <c r="N109" s="83"/>
      <c r="P109" s="84"/>
      <c r="Q109" s="85"/>
      <c r="T109" s="47"/>
    </row>
    <row r="110" customFormat="false" ht="12.75" hidden="false" customHeight="true" outlineLevel="0" collapsed="false">
      <c r="A110" s="34"/>
      <c r="B110" s="34"/>
      <c r="C110" s="34"/>
      <c r="D110" s="34"/>
      <c r="E110" s="34"/>
      <c r="F110" s="34"/>
      <c r="G110" s="36" t="s">
        <v>115</v>
      </c>
      <c r="H110" s="36"/>
      <c r="I110" s="36"/>
      <c r="J110" s="36"/>
      <c r="K110" s="105" t="n">
        <f aca="false">SUM(K14:K109)</f>
        <v>151.374655368377</v>
      </c>
      <c r="L110" s="106"/>
      <c r="M110" s="107"/>
      <c r="N110" s="108"/>
    </row>
    <row r="111" customFormat="false" ht="12.75" hidden="false" customHeight="true" outlineLevel="0" collapsed="false">
      <c r="A111" s="109" t="s">
        <v>116</v>
      </c>
      <c r="B111" s="110"/>
      <c r="C111" s="110"/>
      <c r="D111" s="110"/>
      <c r="E111" s="110"/>
      <c r="F111" s="110"/>
      <c r="G111" s="36" t="s">
        <v>117</v>
      </c>
      <c r="H111" s="36"/>
      <c r="I111" s="111" t="n">
        <v>0.1</v>
      </c>
      <c r="J111" s="111"/>
      <c r="K111" s="105" t="n">
        <f aca="false">K110*I111</f>
        <v>15.1374655368377</v>
      </c>
      <c r="L111" s="112"/>
      <c r="M111" s="113"/>
      <c r="N111" s="114"/>
    </row>
    <row r="112" s="1" customFormat="true" ht="13.5" hidden="false" customHeight="true" outlineLevel="0" collapsed="false">
      <c r="A112" s="98"/>
      <c r="B112" s="98"/>
      <c r="C112" s="98"/>
      <c r="D112" s="98"/>
      <c r="E112" s="98"/>
      <c r="F112" s="98"/>
      <c r="G112" s="115" t="s">
        <v>118</v>
      </c>
      <c r="H112" s="115"/>
      <c r="I112" s="115" t="s">
        <v>45</v>
      </c>
      <c r="J112" s="115"/>
      <c r="K112" s="116" t="n">
        <f aca="false">SUM(K110:K111)</f>
        <v>166.512120905214</v>
      </c>
      <c r="L112" s="112"/>
      <c r="M112" s="113"/>
      <c r="N112" s="114"/>
      <c r="R112" s="3"/>
    </row>
    <row r="113" customFormat="false" ht="12.75" hidden="false" customHeight="true" outlineLevel="0" collapsed="false">
      <c r="A113" s="98"/>
      <c r="B113" s="98"/>
      <c r="C113" s="98"/>
      <c r="D113" s="98"/>
      <c r="E113" s="98"/>
      <c r="F113" s="98"/>
      <c r="G113" s="117"/>
      <c r="H113" s="118"/>
      <c r="I113" s="119"/>
      <c r="J113" s="120" t="s">
        <v>119</v>
      </c>
      <c r="K113" s="120"/>
      <c r="L113" s="120"/>
      <c r="M113" s="121" t="s">
        <v>120</v>
      </c>
      <c r="N113" s="121"/>
    </row>
    <row r="114" customFormat="false" ht="12.75" hidden="false" customHeight="true" outlineLevel="0" collapsed="false">
      <c r="A114" s="98"/>
      <c r="B114" s="98"/>
      <c r="C114" s="98"/>
      <c r="D114" s="98"/>
      <c r="E114" s="98"/>
      <c r="F114" s="98"/>
      <c r="G114" s="36" t="s">
        <v>121</v>
      </c>
      <c r="H114" s="36"/>
      <c r="I114" s="36"/>
      <c r="J114" s="122"/>
      <c r="K114" s="122"/>
      <c r="L114" s="122"/>
      <c r="M114" s="38"/>
      <c r="N114" s="38"/>
    </row>
    <row r="115" customFormat="false" ht="13.5" hidden="false" customHeight="true" outlineLevel="0" collapsed="false">
      <c r="A115" s="123"/>
      <c r="B115" s="123"/>
      <c r="C115" s="123"/>
      <c r="D115" s="123"/>
      <c r="E115" s="123"/>
      <c r="F115" s="123"/>
      <c r="G115" s="124" t="s">
        <v>122</v>
      </c>
      <c r="H115" s="124"/>
      <c r="I115" s="124"/>
      <c r="J115" s="125"/>
      <c r="K115" s="125"/>
      <c r="L115" s="125"/>
      <c r="M115" s="126"/>
      <c r="N115" s="126"/>
    </row>
    <row r="116" customFormat="false" ht="12.75" hidden="false" customHeight="true" outlineLevel="0" collapsed="false">
      <c r="A116" s="127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</row>
  </sheetData>
  <mergeCells count="258">
    <mergeCell ref="A1:N1"/>
    <mergeCell ref="D2:J2"/>
    <mergeCell ref="A3:J3"/>
    <mergeCell ref="K3:L3"/>
    <mergeCell ref="M3:N3"/>
    <mergeCell ref="D4:F4"/>
    <mergeCell ref="G4:J4"/>
    <mergeCell ref="K4:L4"/>
    <mergeCell ref="M4:N4"/>
    <mergeCell ref="D5:F5"/>
    <mergeCell ref="G5:J5"/>
    <mergeCell ref="L5:N5"/>
    <mergeCell ref="A6:B6"/>
    <mergeCell ref="D6:F6"/>
    <mergeCell ref="G6:J6"/>
    <mergeCell ref="L6:N6"/>
    <mergeCell ref="D7:F7"/>
    <mergeCell ref="G7:J7"/>
    <mergeCell ref="L7:N7"/>
    <mergeCell ref="A8:B8"/>
    <mergeCell ref="D8:F8"/>
    <mergeCell ref="G8:J8"/>
    <mergeCell ref="L8:N8"/>
    <mergeCell ref="A9:B9"/>
    <mergeCell ref="D9:E9"/>
    <mergeCell ref="F9:G9"/>
    <mergeCell ref="H9:I9"/>
    <mergeCell ref="J9:L9"/>
    <mergeCell ref="M9:N9"/>
    <mergeCell ref="A10:B10"/>
    <mergeCell ref="D10:E10"/>
    <mergeCell ref="F10:G10"/>
    <mergeCell ref="H10:I10"/>
    <mergeCell ref="J10:L10"/>
    <mergeCell ref="M10:N10"/>
    <mergeCell ref="A11:B11"/>
    <mergeCell ref="M11:N11"/>
    <mergeCell ref="A12:B12"/>
    <mergeCell ref="M12:N12"/>
    <mergeCell ref="A13:B13"/>
    <mergeCell ref="M13:N13"/>
    <mergeCell ref="A14:B14"/>
    <mergeCell ref="C14:C19"/>
    <mergeCell ref="M14:N14"/>
    <mergeCell ref="A15:B15"/>
    <mergeCell ref="M15:N15"/>
    <mergeCell ref="A16:B16"/>
    <mergeCell ref="M16:N16"/>
    <mergeCell ref="A17:B17"/>
    <mergeCell ref="M17:N17"/>
    <mergeCell ref="A18:B18"/>
    <mergeCell ref="M18:N18"/>
    <mergeCell ref="A19:B19"/>
    <mergeCell ref="M19:N19"/>
    <mergeCell ref="A20:B20"/>
    <mergeCell ref="C20:C24"/>
    <mergeCell ref="M20:N20"/>
    <mergeCell ref="A21:B21"/>
    <mergeCell ref="M21:N21"/>
    <mergeCell ref="A22:B22"/>
    <mergeCell ref="M22:N22"/>
    <mergeCell ref="A23:B23"/>
    <mergeCell ref="M23:N23"/>
    <mergeCell ref="A24:B24"/>
    <mergeCell ref="M24:N24"/>
    <mergeCell ref="A25:B25"/>
    <mergeCell ref="C25:C36"/>
    <mergeCell ref="M25:N25"/>
    <mergeCell ref="A26:B26"/>
    <mergeCell ref="M26:N26"/>
    <mergeCell ref="A27:B27"/>
    <mergeCell ref="M27:N27"/>
    <mergeCell ref="A28:B28"/>
    <mergeCell ref="M28:N28"/>
    <mergeCell ref="A29:B29"/>
    <mergeCell ref="M29:N29"/>
    <mergeCell ref="A30:B30"/>
    <mergeCell ref="M30:N30"/>
    <mergeCell ref="A31:B31"/>
    <mergeCell ref="M31:N31"/>
    <mergeCell ref="A32:B32"/>
    <mergeCell ref="M32:N32"/>
    <mergeCell ref="A33:B33"/>
    <mergeCell ref="M33:N33"/>
    <mergeCell ref="A34:B34"/>
    <mergeCell ref="M34:N34"/>
    <mergeCell ref="A35:B35"/>
    <mergeCell ref="M35:N35"/>
    <mergeCell ref="A36:B36"/>
    <mergeCell ref="M36:N36"/>
    <mergeCell ref="A37:B37"/>
    <mergeCell ref="C37:C44"/>
    <mergeCell ref="M37:N37"/>
    <mergeCell ref="A38:B38"/>
    <mergeCell ref="M38:N38"/>
    <mergeCell ref="A39:B39"/>
    <mergeCell ref="M39:N39"/>
    <mergeCell ref="A40:B40"/>
    <mergeCell ref="M40:N40"/>
    <mergeCell ref="A41:B41"/>
    <mergeCell ref="M41:N41"/>
    <mergeCell ref="A42:B42"/>
    <mergeCell ref="M42:N42"/>
    <mergeCell ref="A43:B43"/>
    <mergeCell ref="M43:N43"/>
    <mergeCell ref="A44:B44"/>
    <mergeCell ref="M44:N44"/>
    <mergeCell ref="A45:B45"/>
    <mergeCell ref="C45:C50"/>
    <mergeCell ref="M45:N45"/>
    <mergeCell ref="A46:B46"/>
    <mergeCell ref="M46:N46"/>
    <mergeCell ref="A47:B47"/>
    <mergeCell ref="M47:N47"/>
    <mergeCell ref="A48:B48"/>
    <mergeCell ref="M48:N48"/>
    <mergeCell ref="A49:B49"/>
    <mergeCell ref="M49:N49"/>
    <mergeCell ref="A50:B50"/>
    <mergeCell ref="M50:N50"/>
    <mergeCell ref="A51:B51"/>
    <mergeCell ref="M51:N51"/>
    <mergeCell ref="A52:B52"/>
    <mergeCell ref="M52:N52"/>
    <mergeCell ref="A53:B53"/>
    <mergeCell ref="M53:N53"/>
    <mergeCell ref="A54:B54"/>
    <mergeCell ref="M54:N54"/>
    <mergeCell ref="A55:B55"/>
    <mergeCell ref="M55:N55"/>
    <mergeCell ref="A56:B56"/>
    <mergeCell ref="M56:N56"/>
    <mergeCell ref="A57:B57"/>
    <mergeCell ref="M57:N57"/>
    <mergeCell ref="A58:B58"/>
    <mergeCell ref="M58:N58"/>
    <mergeCell ref="A59:B59"/>
    <mergeCell ref="M59:N59"/>
    <mergeCell ref="A60:B60"/>
    <mergeCell ref="M60:N60"/>
    <mergeCell ref="A61:B61"/>
    <mergeCell ref="M61:N61"/>
    <mergeCell ref="A62:B62"/>
    <mergeCell ref="M62:N62"/>
    <mergeCell ref="A63:B63"/>
    <mergeCell ref="M63:N63"/>
    <mergeCell ref="A64:B64"/>
    <mergeCell ref="M64:N64"/>
    <mergeCell ref="A65:B65"/>
    <mergeCell ref="M65:N65"/>
    <mergeCell ref="A66:B66"/>
    <mergeCell ref="M66:N66"/>
    <mergeCell ref="A67:B67"/>
    <mergeCell ref="M67:N67"/>
    <mergeCell ref="A68:B68"/>
    <mergeCell ref="M68:N68"/>
    <mergeCell ref="A69:B69"/>
    <mergeCell ref="M69:N69"/>
    <mergeCell ref="A70:B70"/>
    <mergeCell ref="M70:N70"/>
    <mergeCell ref="A71:B71"/>
    <mergeCell ref="M71:N71"/>
    <mergeCell ref="A72:B72"/>
    <mergeCell ref="M72:N72"/>
    <mergeCell ref="A73:B73"/>
    <mergeCell ref="M73:N73"/>
    <mergeCell ref="A74:B74"/>
    <mergeCell ref="M74:N74"/>
    <mergeCell ref="A75:B75"/>
    <mergeCell ref="M75:N75"/>
    <mergeCell ref="A76:B76"/>
    <mergeCell ref="M76:N76"/>
    <mergeCell ref="A77:B77"/>
    <mergeCell ref="M77:N77"/>
    <mergeCell ref="A78:B78"/>
    <mergeCell ref="M78:N78"/>
    <mergeCell ref="A79:B79"/>
    <mergeCell ref="M79:N79"/>
    <mergeCell ref="A80:B80"/>
    <mergeCell ref="M80:N80"/>
    <mergeCell ref="A81:B81"/>
    <mergeCell ref="M81:N81"/>
    <mergeCell ref="A82:B82"/>
    <mergeCell ref="M82:N82"/>
    <mergeCell ref="A83:B83"/>
    <mergeCell ref="M83:N83"/>
    <mergeCell ref="A84:B84"/>
    <mergeCell ref="M84:N84"/>
    <mergeCell ref="A85:B85"/>
    <mergeCell ref="M85:N85"/>
    <mergeCell ref="A86:B86"/>
    <mergeCell ref="M86:N86"/>
    <mergeCell ref="A87:B87"/>
    <mergeCell ref="M87:N87"/>
    <mergeCell ref="A88:B88"/>
    <mergeCell ref="M88:N88"/>
    <mergeCell ref="A89:B89"/>
    <mergeCell ref="M89:N89"/>
    <mergeCell ref="A90:B90"/>
    <mergeCell ref="M90:N90"/>
    <mergeCell ref="A91:B91"/>
    <mergeCell ref="M91:N91"/>
    <mergeCell ref="A92:B92"/>
    <mergeCell ref="M92:N92"/>
    <mergeCell ref="A93:B93"/>
    <mergeCell ref="M93:N93"/>
    <mergeCell ref="A94:B94"/>
    <mergeCell ref="M94:N94"/>
    <mergeCell ref="A95:B95"/>
    <mergeCell ref="M95:N95"/>
    <mergeCell ref="A96:B96"/>
    <mergeCell ref="M96:N96"/>
    <mergeCell ref="A97:B97"/>
    <mergeCell ref="M97:N97"/>
    <mergeCell ref="A98:B98"/>
    <mergeCell ref="M98:N98"/>
    <mergeCell ref="A99:B99"/>
    <mergeCell ref="M99:N99"/>
    <mergeCell ref="A100:B100"/>
    <mergeCell ref="M100:N100"/>
    <mergeCell ref="A101:B101"/>
    <mergeCell ref="M101:N101"/>
    <mergeCell ref="A102:B102"/>
    <mergeCell ref="M102:N102"/>
    <mergeCell ref="A103:B103"/>
    <mergeCell ref="M103:N103"/>
    <mergeCell ref="A104:B104"/>
    <mergeCell ref="M104:N104"/>
    <mergeCell ref="A105:B105"/>
    <mergeCell ref="M105:N105"/>
    <mergeCell ref="A106:B106"/>
    <mergeCell ref="M106:N106"/>
    <mergeCell ref="A107:B107"/>
    <mergeCell ref="M107:N107"/>
    <mergeCell ref="A108:B108"/>
    <mergeCell ref="M108:N108"/>
    <mergeCell ref="A109:B109"/>
    <mergeCell ref="M109:N109"/>
    <mergeCell ref="A110:F110"/>
    <mergeCell ref="G110:J110"/>
    <mergeCell ref="B111:F111"/>
    <mergeCell ref="G111:H111"/>
    <mergeCell ref="I111:J111"/>
    <mergeCell ref="A112:F112"/>
    <mergeCell ref="G112:H112"/>
    <mergeCell ref="I112:J112"/>
    <mergeCell ref="A113:F113"/>
    <mergeCell ref="J113:L113"/>
    <mergeCell ref="M113:N113"/>
    <mergeCell ref="A114:F114"/>
    <mergeCell ref="G114:I114"/>
    <mergeCell ref="J114:L114"/>
    <mergeCell ref="M114:N114"/>
    <mergeCell ref="A115:F115"/>
    <mergeCell ref="G115:I115"/>
    <mergeCell ref="J115:L115"/>
    <mergeCell ref="M115:N115"/>
    <mergeCell ref="A116:N116"/>
  </mergeCells>
  <dataValidations count="6">
    <dataValidation allowBlank="true" errorStyle="stop" operator="between" showDropDown="false" showErrorMessage="false" showInputMessage="false" sqref="M4:N4" type="list">
      <formula1>engineer_s</formula1>
      <formula2>0</formula2>
    </dataValidation>
    <dataValidation allowBlank="true" errorStyle="stop" operator="between" showDropDown="false" showErrorMessage="false" showInputMessage="false" sqref="D5:F5" type="list">
      <formula1>consultant_s</formula1>
      <formula2>0</formula2>
    </dataValidation>
    <dataValidation allowBlank="true" errorStyle="stop" operator="between" showDropDown="false" showErrorMessage="false" showInputMessage="false" sqref="L6:N8" type="list">
      <formula1>pipe_medium_s</formula1>
      <formula2>0</formula2>
    </dataValidation>
    <dataValidation allowBlank="true" errorStyle="stop" operator="between" showDropDown="false" showErrorMessage="false" showInputMessage="false" sqref="A14:C14 A15:B109 C20 C25 C37 C45 C51:C109" type="list">
      <formula1>description___item</formula1>
      <formula2>0</formula2>
    </dataValidation>
    <dataValidation allowBlank="true" errorStyle="stop" operator="between" showDropDown="false" showErrorMessage="false" showInputMessage="false" sqref="E14:E109" type="list">
      <formula1>size</formula1>
      <formula2>0</formula2>
    </dataValidation>
    <dataValidation allowBlank="true" errorStyle="stop" operator="between" showDropDown="false" showErrorMessage="false" showInputMessage="false" sqref="D14:D109" type="list">
      <formula1>"A,B,C"</formula1>
      <formula2>0</formula2>
    </dataValidation>
  </dataValidations>
  <printOptions headings="false" gridLines="false" gridLinesSet="true" horizontalCentered="false" verticalCentered="false"/>
  <pageMargins left="0.370138888888889" right="0.157638888888889" top="0.440277777777778" bottom="0" header="0.220138888888889" footer="0.511811023622047"/>
  <pageSetup paperSize="9" scale="83" fitToWidth="1" fitToHeight="1" pageOrder="downThenOver" orientation="portrait" blackAndWhite="false" draft="false" cellComments="none" horizontalDpi="300" verticalDpi="300" copies="1"/>
  <headerFooter differentFirst="false" differentOddEven="false">
    <oddHeader>&amp;RENG03</oddHeader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9.0546875" defaultRowHeight="12.75" zeroHeight="false" outlineLevelRow="0" outlineLevelCol="0"/>
  <cols>
    <col collapsed="false" customWidth="true" hidden="false" outlineLevel="0" max="7" min="1" style="31" width="9.14"/>
    <col collapsed="false" customWidth="true" hidden="false" outlineLevel="0" max="9" min="8" style="31" width="12.7"/>
    <col collapsed="false" customWidth="true" hidden="false" outlineLevel="0" max="43" min="10" style="128" width="9.14"/>
  </cols>
  <sheetData>
    <row r="1" customFormat="false" ht="12.75" hidden="false" customHeight="true" outlineLevel="0" collapsed="false">
      <c r="A1" s="129" t="s">
        <v>123</v>
      </c>
      <c r="B1" s="130" t="s">
        <v>124</v>
      </c>
      <c r="C1" s="130" t="s">
        <v>125</v>
      </c>
      <c r="D1" s="130" t="s">
        <v>126</v>
      </c>
      <c r="E1" s="130" t="s">
        <v>127</v>
      </c>
      <c r="F1" s="131" t="s">
        <v>91</v>
      </c>
      <c r="G1" s="131" t="s">
        <v>128</v>
      </c>
      <c r="H1" s="131" t="s">
        <v>129</v>
      </c>
      <c r="I1" s="131" t="s">
        <v>130</v>
      </c>
      <c r="K1" s="132" t="s">
        <v>60</v>
      </c>
      <c r="L1" s="132"/>
      <c r="N1" s="133" t="s">
        <v>131</v>
      </c>
      <c r="O1" s="134" t="s">
        <v>132</v>
      </c>
      <c r="Q1" s="135" t="s">
        <v>133</v>
      </c>
      <c r="R1" s="135" t="s">
        <v>134</v>
      </c>
      <c r="S1" s="135" t="s">
        <v>135</v>
      </c>
    </row>
    <row r="2" customFormat="false" ht="12.75" hidden="false" customHeight="true" outlineLevel="0" collapsed="false">
      <c r="A2" s="98" t="n">
        <v>15</v>
      </c>
      <c r="B2" s="136" t="n">
        <v>0.3</v>
      </c>
      <c r="C2" s="136" t="n">
        <v>0.21</v>
      </c>
      <c r="D2" s="136" t="n">
        <v>0.3</v>
      </c>
      <c r="E2" s="136" t="n">
        <v>0.92</v>
      </c>
      <c r="F2" s="137" t="n">
        <v>0.21</v>
      </c>
      <c r="G2" s="137" t="n">
        <v>1.9</v>
      </c>
      <c r="H2" s="137" t="n">
        <v>0.25</v>
      </c>
      <c r="I2" s="137" t="n">
        <v>0.9</v>
      </c>
      <c r="K2" s="138" t="n">
        <v>15</v>
      </c>
      <c r="L2" s="139" t="n">
        <v>61.188</v>
      </c>
      <c r="N2" s="138" t="n">
        <v>0.16</v>
      </c>
      <c r="O2" s="139" t="n">
        <v>15</v>
      </c>
      <c r="Q2" s="140" t="n">
        <v>15</v>
      </c>
      <c r="R2" s="141" t="n">
        <v>10.9</v>
      </c>
      <c r="S2" s="140" t="n">
        <v>139</v>
      </c>
    </row>
    <row r="3" customFormat="false" ht="12.75" hidden="false" customHeight="true" outlineLevel="0" collapsed="false">
      <c r="A3" s="98" t="n">
        <v>20</v>
      </c>
      <c r="B3" s="136" t="n">
        <v>0.42</v>
      </c>
      <c r="C3" s="136" t="n">
        <v>0.27</v>
      </c>
      <c r="D3" s="136" t="n">
        <v>0.42</v>
      </c>
      <c r="E3" s="136" t="n">
        <v>1.26</v>
      </c>
      <c r="F3" s="142" t="n">
        <v>0.27</v>
      </c>
      <c r="G3" s="142" t="n">
        <v>2.15</v>
      </c>
      <c r="H3" s="142" t="n">
        <v>0.4</v>
      </c>
      <c r="I3" s="142" t="n">
        <v>1.6</v>
      </c>
      <c r="K3" s="138" t="n">
        <v>20</v>
      </c>
      <c r="L3" s="139" t="n">
        <v>19.638</v>
      </c>
      <c r="N3" s="138" t="n">
        <v>0.25</v>
      </c>
      <c r="O3" s="139" t="n">
        <v>15</v>
      </c>
      <c r="Q3" s="140" t="n">
        <v>20</v>
      </c>
      <c r="R3" s="141" t="n">
        <v>17</v>
      </c>
      <c r="S3" s="140" t="n">
        <v>140</v>
      </c>
    </row>
    <row r="4" customFormat="false" ht="12.75" hidden="false" customHeight="true" outlineLevel="0" collapsed="false">
      <c r="A4" s="98" t="n">
        <v>25</v>
      </c>
      <c r="B4" s="136" t="n">
        <v>0.54</v>
      </c>
      <c r="C4" s="136" t="n">
        <v>0.3</v>
      </c>
      <c r="D4" s="136" t="n">
        <v>0.51</v>
      </c>
      <c r="E4" s="136" t="n">
        <v>1.52</v>
      </c>
      <c r="F4" s="142" t="n">
        <v>0.3</v>
      </c>
      <c r="G4" s="142" t="n">
        <v>3</v>
      </c>
      <c r="H4" s="142" t="n">
        <v>0.46</v>
      </c>
      <c r="I4" s="142" t="n">
        <v>1.8</v>
      </c>
      <c r="K4" s="138" t="n">
        <v>25</v>
      </c>
      <c r="L4" s="139" t="n">
        <v>7.875</v>
      </c>
      <c r="N4" s="138" t="n">
        <v>0.4</v>
      </c>
      <c r="O4" s="139" t="n">
        <v>15</v>
      </c>
      <c r="Q4" s="140" t="n">
        <v>25</v>
      </c>
      <c r="R4" s="141" t="n">
        <v>23</v>
      </c>
      <c r="S4" s="140" t="n">
        <v>141</v>
      </c>
    </row>
    <row r="5" customFormat="false" ht="12.75" hidden="false" customHeight="true" outlineLevel="0" collapsed="false">
      <c r="A5" s="98" t="n">
        <v>32</v>
      </c>
      <c r="B5" s="136" t="n">
        <v>0.71</v>
      </c>
      <c r="C5" s="136" t="n">
        <v>0.46</v>
      </c>
      <c r="D5" s="136" t="n">
        <v>0.7</v>
      </c>
      <c r="E5" s="136" t="n">
        <v>2.1</v>
      </c>
      <c r="F5" s="142" t="n">
        <v>0.46</v>
      </c>
      <c r="G5" s="142" t="n">
        <v>4.26</v>
      </c>
      <c r="H5" s="142" t="n">
        <v>0.66</v>
      </c>
      <c r="I5" s="142" t="n">
        <v>2.07</v>
      </c>
      <c r="K5" s="138" t="n">
        <v>32</v>
      </c>
      <c r="L5" s="139" t="n">
        <v>2.85</v>
      </c>
      <c r="N5" s="138" t="n">
        <v>0.63</v>
      </c>
      <c r="O5" s="139" t="n">
        <v>15</v>
      </c>
      <c r="Q5" s="140" t="n">
        <v>32</v>
      </c>
      <c r="R5" s="141" t="n">
        <v>29.3</v>
      </c>
      <c r="S5" s="140" t="n">
        <v>142</v>
      </c>
    </row>
    <row r="6" customFormat="false" ht="12.75" hidden="false" customHeight="true" outlineLevel="0" collapsed="false">
      <c r="A6" s="98" t="n">
        <v>40</v>
      </c>
      <c r="B6" s="136" t="n">
        <v>0.79</v>
      </c>
      <c r="C6" s="136" t="n">
        <v>0.53</v>
      </c>
      <c r="D6" s="136" t="n">
        <v>0.79</v>
      </c>
      <c r="E6" s="136" t="n">
        <v>2.44</v>
      </c>
      <c r="F6" s="142" t="n">
        <v>0.53</v>
      </c>
      <c r="G6" s="142" t="n">
        <v>4.9</v>
      </c>
      <c r="H6" s="142" t="n">
        <v>0.8</v>
      </c>
      <c r="I6" s="142" t="n">
        <v>3.05</v>
      </c>
      <c r="K6" s="138" t="n">
        <v>40</v>
      </c>
      <c r="L6" s="139" t="n">
        <v>1.45</v>
      </c>
      <c r="N6" s="138" t="n">
        <v>1</v>
      </c>
      <c r="O6" s="139" t="n">
        <v>15</v>
      </c>
      <c r="Q6" s="140" t="n">
        <v>40</v>
      </c>
      <c r="R6" s="141" t="n">
        <v>35.7</v>
      </c>
      <c r="S6" s="140" t="n">
        <v>143</v>
      </c>
    </row>
    <row r="7" customFormat="false" ht="12.75" hidden="false" customHeight="true" outlineLevel="0" collapsed="false">
      <c r="A7" s="98" t="n">
        <v>50</v>
      </c>
      <c r="B7" s="136" t="n">
        <v>1</v>
      </c>
      <c r="C7" s="136" t="n">
        <v>0.7</v>
      </c>
      <c r="D7" s="136" t="n">
        <v>1</v>
      </c>
      <c r="E7" s="136" t="n">
        <v>3.04</v>
      </c>
      <c r="F7" s="142" t="n">
        <v>0.7</v>
      </c>
      <c r="G7" s="142" t="n">
        <v>6</v>
      </c>
      <c r="H7" s="142" t="n">
        <v>0.98</v>
      </c>
      <c r="I7" s="142" t="n">
        <v>4.2</v>
      </c>
      <c r="K7" s="138" t="n">
        <v>50</v>
      </c>
      <c r="L7" s="139" t="n">
        <v>0.5365</v>
      </c>
      <c r="N7" s="138" t="n">
        <v>1.6</v>
      </c>
      <c r="O7" s="139" t="n">
        <v>15</v>
      </c>
      <c r="Q7" s="140" t="n">
        <v>50</v>
      </c>
      <c r="R7" s="141" t="n">
        <v>48.4</v>
      </c>
      <c r="S7" s="140" t="n">
        <v>144</v>
      </c>
    </row>
    <row r="8" customFormat="false" ht="12.75" hidden="false" customHeight="true" outlineLevel="0" collapsed="false">
      <c r="A8" s="98" t="n">
        <v>65</v>
      </c>
      <c r="B8" s="136" t="n">
        <v>1.35</v>
      </c>
      <c r="C8" s="136" t="n">
        <v>0.85</v>
      </c>
      <c r="D8" s="136" t="n">
        <v>1.29</v>
      </c>
      <c r="E8" s="136" t="n">
        <v>3.65</v>
      </c>
      <c r="F8" s="142" t="n">
        <v>0.85</v>
      </c>
      <c r="G8" s="142" t="n">
        <v>7.6</v>
      </c>
      <c r="H8" s="142" t="n">
        <v>1.3</v>
      </c>
      <c r="I8" s="142" t="n">
        <v>5.2</v>
      </c>
      <c r="K8" s="138" t="n">
        <v>65</v>
      </c>
      <c r="L8" s="139" t="n">
        <v>0.25</v>
      </c>
      <c r="N8" s="138" t="n">
        <v>2.5</v>
      </c>
      <c r="O8" s="139" t="n">
        <v>15</v>
      </c>
      <c r="Q8" s="140" t="n">
        <v>65</v>
      </c>
      <c r="R8" s="141" t="n">
        <v>61.1</v>
      </c>
      <c r="S8" s="140" t="n">
        <v>144</v>
      </c>
    </row>
    <row r="9" customFormat="false" ht="12.75" hidden="false" customHeight="true" outlineLevel="0" collapsed="false">
      <c r="A9" s="98" t="n">
        <v>80</v>
      </c>
      <c r="B9" s="136" t="n">
        <v>1.52</v>
      </c>
      <c r="C9" s="136" t="n">
        <v>0.97</v>
      </c>
      <c r="D9" s="136" t="n">
        <v>1.54</v>
      </c>
      <c r="E9" s="136" t="n">
        <v>4.57</v>
      </c>
      <c r="F9" s="142" t="n">
        <v>0.97</v>
      </c>
      <c r="G9" s="142" t="n">
        <v>9.2</v>
      </c>
      <c r="H9" s="142" t="n">
        <v>1.5</v>
      </c>
      <c r="I9" s="142" t="n">
        <v>6.2</v>
      </c>
      <c r="K9" s="138" t="n">
        <v>80</v>
      </c>
      <c r="L9" s="139" t="n">
        <v>0.1118</v>
      </c>
      <c r="N9" s="138" t="n">
        <v>4</v>
      </c>
      <c r="O9" s="139" t="n">
        <v>15</v>
      </c>
      <c r="Q9" s="140" t="n">
        <v>80</v>
      </c>
      <c r="R9" s="141" t="n">
        <v>72.9</v>
      </c>
      <c r="S9" s="140" t="n">
        <v>145</v>
      </c>
    </row>
    <row r="10" customFormat="false" ht="12.75" hidden="false" customHeight="true" outlineLevel="0" collapsed="false">
      <c r="A10" s="98" t="n">
        <v>100</v>
      </c>
      <c r="B10" s="136" t="n">
        <v>2.06</v>
      </c>
      <c r="C10" s="136" t="n">
        <v>1.37</v>
      </c>
      <c r="D10" s="136" t="n">
        <v>2.44</v>
      </c>
      <c r="E10" s="136" t="n">
        <v>6.4</v>
      </c>
      <c r="F10" s="142" t="n">
        <v>1.37</v>
      </c>
      <c r="G10" s="142" t="n">
        <v>12.1</v>
      </c>
      <c r="H10" s="142" t="n">
        <v>2</v>
      </c>
      <c r="I10" s="142" t="n">
        <v>8.2</v>
      </c>
      <c r="K10" s="138" t="n">
        <v>100</v>
      </c>
      <c r="L10" s="139" t="n">
        <v>0.034</v>
      </c>
      <c r="N10" s="138" t="n">
        <v>6.3</v>
      </c>
      <c r="O10" s="139" t="n">
        <v>20</v>
      </c>
      <c r="Q10" s="140" t="n">
        <v>100</v>
      </c>
      <c r="R10" s="141" t="n">
        <v>98.3</v>
      </c>
      <c r="S10" s="140" t="n">
        <v>146</v>
      </c>
    </row>
    <row r="11" customFormat="false" ht="12.75" hidden="false" customHeight="true" outlineLevel="0" collapsed="false">
      <c r="A11" s="98" t="n">
        <v>125</v>
      </c>
      <c r="B11" s="136" t="n">
        <v>2.32</v>
      </c>
      <c r="C11" s="136" t="n">
        <v>1.84</v>
      </c>
      <c r="D11" s="136" t="n">
        <v>2.58</v>
      </c>
      <c r="E11" s="136" t="n">
        <v>7.62</v>
      </c>
      <c r="F11" s="142" t="n">
        <v>1.84</v>
      </c>
      <c r="G11" s="142" t="n">
        <v>15.2</v>
      </c>
      <c r="H11" s="142" t="n">
        <v>2.5</v>
      </c>
      <c r="I11" s="142" t="n">
        <v>10.2</v>
      </c>
      <c r="K11" s="138" t="n">
        <v>125</v>
      </c>
      <c r="L11" s="139" t="n">
        <v>0.015</v>
      </c>
      <c r="N11" s="138" t="n">
        <v>10</v>
      </c>
      <c r="O11" s="139" t="n">
        <v>25</v>
      </c>
      <c r="Q11" s="140" t="n">
        <v>125</v>
      </c>
      <c r="R11" s="141" t="n">
        <v>123.7</v>
      </c>
      <c r="S11" s="140" t="n">
        <v>146</v>
      </c>
    </row>
    <row r="12" customFormat="false" ht="12.75" hidden="false" customHeight="true" outlineLevel="0" collapsed="false">
      <c r="A12" s="98" t="n">
        <v>150</v>
      </c>
      <c r="B12" s="136" t="n">
        <v>3</v>
      </c>
      <c r="C12" s="136" t="n">
        <v>2.13</v>
      </c>
      <c r="D12" s="136" t="n">
        <v>3.1</v>
      </c>
      <c r="E12" s="136" t="n">
        <v>9.2</v>
      </c>
      <c r="F12" s="142" t="n">
        <v>2.13</v>
      </c>
      <c r="G12" s="142" t="n">
        <v>18.2</v>
      </c>
      <c r="H12" s="142" t="n">
        <v>3</v>
      </c>
      <c r="I12" s="142" t="n">
        <v>12.8</v>
      </c>
      <c r="K12" s="138" t="n">
        <v>150</v>
      </c>
      <c r="L12" s="139" t="n">
        <v>0.0045</v>
      </c>
      <c r="N12" s="138" t="n">
        <v>16</v>
      </c>
      <c r="O12" s="139" t="n">
        <v>32</v>
      </c>
      <c r="Q12" s="140" t="n">
        <v>150</v>
      </c>
      <c r="R12" s="141" t="n">
        <v>148.3</v>
      </c>
      <c r="S12" s="140" t="n">
        <v>146</v>
      </c>
    </row>
    <row r="13" customFormat="false" ht="13.5" hidden="false" customHeight="true" outlineLevel="0" collapsed="false">
      <c r="A13" s="98" t="n">
        <v>200</v>
      </c>
      <c r="B13" s="136" t="n">
        <v>3.9</v>
      </c>
      <c r="C13" s="136" t="n">
        <v>2.74</v>
      </c>
      <c r="D13" s="136" t="n">
        <v>4</v>
      </c>
      <c r="E13" s="136" t="n">
        <v>12.2</v>
      </c>
      <c r="F13" s="142" t="n">
        <v>2.74</v>
      </c>
      <c r="G13" s="142" t="n">
        <v>24.4</v>
      </c>
      <c r="H13" s="142" t="n">
        <v>4</v>
      </c>
      <c r="I13" s="142" t="n">
        <v>17</v>
      </c>
      <c r="K13" s="143" t="n">
        <v>200</v>
      </c>
      <c r="L13" s="144" t="n">
        <v>0.00145</v>
      </c>
      <c r="N13" s="138" t="n">
        <v>25</v>
      </c>
      <c r="O13" s="139" t="n">
        <v>40</v>
      </c>
      <c r="Q13" s="140" t="n">
        <v>200</v>
      </c>
      <c r="R13" s="141" t="n">
        <v>202.7</v>
      </c>
      <c r="S13" s="140" t="n">
        <v>141</v>
      </c>
    </row>
    <row r="14" customFormat="false" ht="12.75" hidden="false" customHeight="true" outlineLevel="0" collapsed="false">
      <c r="A14" s="98" t="n">
        <v>250</v>
      </c>
      <c r="B14" s="136" t="n">
        <v>4.9</v>
      </c>
      <c r="C14" s="136" t="n">
        <v>3.68</v>
      </c>
      <c r="D14" s="136" t="n">
        <v>4.9</v>
      </c>
      <c r="E14" s="136" t="n">
        <v>15.4</v>
      </c>
      <c r="F14" s="142" t="n">
        <v>3.68</v>
      </c>
      <c r="G14" s="142" t="n">
        <v>30.7</v>
      </c>
      <c r="H14" s="142" t="n">
        <v>5</v>
      </c>
      <c r="I14" s="142" t="n">
        <v>21</v>
      </c>
      <c r="N14" s="138" t="n">
        <v>40</v>
      </c>
      <c r="O14" s="139" t="n">
        <v>50</v>
      </c>
      <c r="Q14" s="140" t="n">
        <v>250</v>
      </c>
      <c r="R14" s="141" t="n">
        <v>254.5</v>
      </c>
      <c r="S14" s="140" t="n">
        <v>141</v>
      </c>
    </row>
    <row r="15" customFormat="false" ht="12.75" hidden="false" customHeight="true" outlineLevel="0" collapsed="false">
      <c r="A15" s="98" t="n">
        <v>300</v>
      </c>
      <c r="B15" s="136" t="n">
        <v>5.8</v>
      </c>
      <c r="C15" s="136" t="n">
        <v>3.98</v>
      </c>
      <c r="D15" s="136" t="n">
        <v>5.8</v>
      </c>
      <c r="E15" s="136" t="n">
        <v>18.5</v>
      </c>
      <c r="F15" s="142" t="n">
        <v>3.98</v>
      </c>
      <c r="G15" s="142" t="n">
        <v>36.9</v>
      </c>
      <c r="H15" s="142" t="n">
        <v>5.8</v>
      </c>
      <c r="I15" s="142" t="n">
        <v>24.5</v>
      </c>
      <c r="N15" s="138" t="n">
        <v>63</v>
      </c>
      <c r="O15" s="139" t="n">
        <v>65</v>
      </c>
      <c r="Q15" s="140" t="n">
        <v>300</v>
      </c>
      <c r="R15" s="141" t="n">
        <v>303.3</v>
      </c>
      <c r="S15" s="140" t="n">
        <v>141</v>
      </c>
    </row>
    <row r="16" customFormat="false" ht="12.75" hidden="false" customHeight="true" outlineLevel="0" collapsed="false">
      <c r="A16" s="98" t="n">
        <v>350</v>
      </c>
      <c r="B16" s="136" t="n">
        <v>7</v>
      </c>
      <c r="C16" s="136" t="n">
        <v>4.8</v>
      </c>
      <c r="D16" s="136" t="n">
        <v>7</v>
      </c>
      <c r="E16" s="136" t="n">
        <v>20.7</v>
      </c>
      <c r="F16" s="142" t="n">
        <v>5.4</v>
      </c>
      <c r="G16" s="142" t="n">
        <v>41.5</v>
      </c>
      <c r="H16" s="142" t="n">
        <v>7</v>
      </c>
      <c r="I16" s="142" t="n">
        <v>29</v>
      </c>
      <c r="N16" s="138" t="n">
        <v>100</v>
      </c>
      <c r="O16" s="139" t="n">
        <v>80</v>
      </c>
      <c r="Q16" s="140" t="n">
        <v>350</v>
      </c>
      <c r="R16" s="141" t="n">
        <v>333.3</v>
      </c>
      <c r="S16" s="140" t="n">
        <v>141</v>
      </c>
    </row>
    <row r="17" customFormat="false" ht="12.75" hidden="false" customHeight="true" outlineLevel="0" collapsed="false">
      <c r="A17" s="98" t="n">
        <v>400</v>
      </c>
      <c r="B17" s="136" t="n">
        <v>7.9</v>
      </c>
      <c r="C17" s="136" t="n">
        <v>5.4</v>
      </c>
      <c r="D17" s="136" t="n">
        <v>7.9</v>
      </c>
      <c r="E17" s="136" t="n">
        <v>23.3</v>
      </c>
      <c r="F17" s="142" t="n">
        <v>6</v>
      </c>
      <c r="G17" s="142" t="n">
        <v>46.15</v>
      </c>
      <c r="H17" s="142" t="n">
        <v>7.6</v>
      </c>
      <c r="I17" s="142" t="n">
        <v>33</v>
      </c>
      <c r="N17" s="138" t="n">
        <v>160</v>
      </c>
      <c r="O17" s="139" t="n">
        <v>100</v>
      </c>
      <c r="Q17" s="140" t="n">
        <v>400</v>
      </c>
      <c r="R17" s="141" t="n">
        <v>381</v>
      </c>
      <c r="S17" s="140" t="n">
        <v>141</v>
      </c>
    </row>
    <row r="18" customFormat="false" ht="12.75" hidden="false" customHeight="true" outlineLevel="0" collapsed="false">
      <c r="A18" s="98" t="n">
        <v>450</v>
      </c>
      <c r="B18" s="136" t="n">
        <v>8.84</v>
      </c>
      <c r="C18" s="136" t="n">
        <v>6</v>
      </c>
      <c r="D18" s="136" t="n">
        <v>8.8</v>
      </c>
      <c r="E18" s="136" t="n">
        <v>26</v>
      </c>
      <c r="F18" s="142" t="n">
        <v>7</v>
      </c>
      <c r="G18" s="142" t="n">
        <v>50.76</v>
      </c>
      <c r="H18" s="142" t="n">
        <v>8.8</v>
      </c>
      <c r="I18" s="142" t="n">
        <v>37</v>
      </c>
      <c r="N18" s="138" t="n">
        <v>250</v>
      </c>
      <c r="O18" s="139" t="n">
        <v>125</v>
      </c>
      <c r="Q18" s="140" t="n">
        <v>450</v>
      </c>
      <c r="R18" s="141" t="n">
        <v>428.5</v>
      </c>
      <c r="S18" s="140" t="n">
        <v>141</v>
      </c>
    </row>
    <row r="19" customFormat="false" ht="13.5" hidden="false" customHeight="true" outlineLevel="0" collapsed="false">
      <c r="A19" s="98" t="n">
        <v>500</v>
      </c>
      <c r="B19" s="136" t="n">
        <v>10.1</v>
      </c>
      <c r="C19" s="136" t="n">
        <v>6.5</v>
      </c>
      <c r="D19" s="136" t="n">
        <v>10.1</v>
      </c>
      <c r="E19" s="136" t="n">
        <v>30.4</v>
      </c>
      <c r="F19" s="142" t="n">
        <v>7.5</v>
      </c>
      <c r="G19" s="142" t="n">
        <v>61.53</v>
      </c>
      <c r="H19" s="142" t="n">
        <v>9.5</v>
      </c>
      <c r="I19" s="142" t="n">
        <v>41</v>
      </c>
      <c r="N19" s="143" t="n">
        <v>400</v>
      </c>
      <c r="O19" s="144" t="n">
        <v>150</v>
      </c>
      <c r="Q19" s="140" t="n">
        <v>500</v>
      </c>
      <c r="R19" s="141" t="n">
        <v>477.9</v>
      </c>
      <c r="S19" s="140" t="n">
        <v>141</v>
      </c>
    </row>
    <row r="20" customFormat="false" ht="12.75" hidden="false" customHeight="true" outlineLevel="0" collapsed="false">
      <c r="A20" s="98" t="n">
        <v>550</v>
      </c>
      <c r="B20" s="136" t="n">
        <v>11.1</v>
      </c>
      <c r="C20" s="136" t="n">
        <v>7.4</v>
      </c>
      <c r="D20" s="136" t="n">
        <v>11.1</v>
      </c>
      <c r="E20" s="136" t="n">
        <v>32.5</v>
      </c>
      <c r="F20" s="142" t="n">
        <v>8.4</v>
      </c>
      <c r="G20" s="142" t="n">
        <v>68</v>
      </c>
      <c r="H20" s="142" t="n">
        <v>11</v>
      </c>
      <c r="I20" s="142" t="n">
        <v>45</v>
      </c>
      <c r="Q20" s="140" t="n">
        <v>550</v>
      </c>
      <c r="R20" s="141" t="n">
        <v>527</v>
      </c>
      <c r="S20" s="140" t="n">
        <v>141</v>
      </c>
    </row>
    <row r="21" customFormat="false" ht="13.5" hidden="false" customHeight="true" outlineLevel="0" collapsed="false">
      <c r="A21" s="123" t="n">
        <v>600</v>
      </c>
      <c r="B21" s="145" t="n">
        <v>12.2</v>
      </c>
      <c r="C21" s="145" t="n">
        <v>8</v>
      </c>
      <c r="D21" s="145" t="n">
        <v>12.2</v>
      </c>
      <c r="E21" s="145" t="n">
        <v>35.1</v>
      </c>
      <c r="F21" s="146" t="n">
        <v>9</v>
      </c>
      <c r="G21" s="146" t="n">
        <v>73.84</v>
      </c>
      <c r="H21" s="146" t="n">
        <v>12</v>
      </c>
      <c r="I21" s="146" t="n">
        <v>48</v>
      </c>
      <c r="Q21" s="140" t="n">
        <v>600</v>
      </c>
      <c r="R21" s="141" t="n">
        <v>574.6</v>
      </c>
      <c r="S21" s="140" t="n">
        <v>141</v>
      </c>
    </row>
    <row r="22" customFormat="false" ht="12.75" hidden="false" customHeight="true" outlineLevel="0" collapsed="false">
      <c r="A22" s="147"/>
      <c r="B22" s="147"/>
      <c r="C22" s="147" t="n">
        <v>3</v>
      </c>
      <c r="D22" s="147" t="n">
        <v>4</v>
      </c>
      <c r="E22" s="147" t="n">
        <v>5</v>
      </c>
      <c r="F22" s="147" t="n">
        <v>6</v>
      </c>
      <c r="G22" s="147" t="n">
        <v>7</v>
      </c>
      <c r="H22" s="147" t="n">
        <v>6</v>
      </c>
      <c r="I22" s="147"/>
    </row>
    <row r="23" customFormat="false" ht="12.75" hidden="false" customHeight="true" outlineLevel="0" collapsed="false">
      <c r="A23" s="147"/>
      <c r="B23" s="147"/>
      <c r="C23" s="147"/>
      <c r="D23" s="147"/>
      <c r="E23" s="147"/>
      <c r="F23" s="147" t="s">
        <v>136</v>
      </c>
      <c r="G23" s="147"/>
      <c r="H23" s="147" t="s">
        <v>137</v>
      </c>
      <c r="I23" s="147"/>
    </row>
    <row r="24" customFormat="false" ht="12.75" hidden="false" customHeight="true" outlineLevel="0" collapsed="false">
      <c r="A24" s="147"/>
      <c r="B24" s="147"/>
      <c r="C24" s="147"/>
      <c r="D24" s="147"/>
      <c r="E24" s="147"/>
      <c r="F24" s="147"/>
      <c r="G24" s="147"/>
      <c r="H24" s="147"/>
      <c r="I24" s="147"/>
    </row>
    <row r="25" customFormat="false" ht="12.75" hidden="false" customHeight="true" outlineLevel="0" collapsed="false">
      <c r="A25" s="147"/>
      <c r="B25" s="147"/>
      <c r="C25" s="147"/>
      <c r="D25" s="147"/>
      <c r="E25" s="147"/>
      <c r="F25" s="147"/>
      <c r="G25" s="147"/>
      <c r="H25" s="147"/>
      <c r="I25" s="147"/>
    </row>
    <row r="26" customFormat="false" ht="12.75" hidden="false" customHeight="true" outlineLevel="0" collapsed="false">
      <c r="A26" s="147"/>
      <c r="B26" s="147"/>
      <c r="C26" s="147"/>
      <c r="D26" s="147"/>
      <c r="E26" s="147"/>
      <c r="F26" s="147"/>
      <c r="G26" s="147"/>
      <c r="H26" s="147"/>
      <c r="I26" s="147"/>
    </row>
    <row r="27" customFormat="false" ht="12.75" hidden="false" customHeight="true" outlineLevel="0" collapsed="false">
      <c r="A27" s="147"/>
      <c r="B27" s="147"/>
      <c r="C27" s="147"/>
      <c r="D27" s="147"/>
      <c r="E27" s="147"/>
      <c r="F27" s="147"/>
      <c r="G27" s="147"/>
      <c r="H27" s="147"/>
      <c r="I27" s="147"/>
    </row>
    <row r="28" customFormat="false" ht="12.75" hidden="false" customHeight="true" outlineLevel="0" collapsed="false">
      <c r="A28" s="147"/>
      <c r="B28" s="147"/>
      <c r="C28" s="147"/>
      <c r="D28" s="147"/>
      <c r="E28" s="147"/>
      <c r="F28" s="147"/>
      <c r="G28" s="147"/>
      <c r="H28" s="147"/>
      <c r="I28" s="147"/>
    </row>
    <row r="29" customFormat="false" ht="12.75" hidden="false" customHeight="true" outlineLevel="0" collapsed="false">
      <c r="A29" s="147"/>
      <c r="B29" s="147"/>
      <c r="C29" s="147"/>
      <c r="D29" s="147"/>
      <c r="E29" s="147"/>
      <c r="F29" s="147"/>
      <c r="G29" s="147"/>
      <c r="H29" s="147"/>
      <c r="I29" s="147"/>
    </row>
    <row r="30" customFormat="false" ht="12.75" hidden="false" customHeight="true" outlineLevel="0" collapsed="false">
      <c r="A30" s="147"/>
      <c r="B30" s="147"/>
      <c r="C30" s="147"/>
      <c r="D30" s="147"/>
      <c r="E30" s="147"/>
      <c r="F30" s="147"/>
      <c r="G30" s="147"/>
      <c r="H30" s="147"/>
      <c r="I30" s="147"/>
    </row>
  </sheetData>
  <mergeCells count="1">
    <mergeCell ref="K1:L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H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9.0546875" defaultRowHeight="12.75" zeroHeight="false" outlineLevelRow="0" outlineLevelCol="0"/>
  <cols>
    <col collapsed="false" customWidth="true" hidden="false" outlineLevel="0" max="2" min="2" style="1" width="10.99"/>
  </cols>
  <sheetData>
    <row r="2" customFormat="false" ht="13.5" hidden="false" customHeight="true" outlineLevel="0" collapsed="false"/>
    <row r="3" customFormat="false" ht="13.5" hidden="false" customHeight="true" outlineLevel="0" collapsed="false">
      <c r="B3" s="1" t="s">
        <v>138</v>
      </c>
      <c r="C3" s="148" t="n">
        <v>20.24</v>
      </c>
    </row>
    <row r="4" customFormat="false" ht="13.5" hidden="false" customHeight="true" outlineLevel="0" collapsed="false">
      <c r="C4" s="149"/>
    </row>
    <row r="5" customFormat="false" ht="13.5" hidden="false" customHeight="true" outlineLevel="0" collapsed="false">
      <c r="B5" s="1" t="s">
        <v>139</v>
      </c>
      <c r="C5" s="148" t="n">
        <v>80</v>
      </c>
      <c r="D5" s="1" t="s">
        <v>41</v>
      </c>
      <c r="F5" s="1" t="s">
        <v>140</v>
      </c>
      <c r="G5" s="150" t="n">
        <f aca="false">(82711*(C3^2))*((1/(C7^4))-(1/(C5^4)))</f>
        <v>1.07092513913764</v>
      </c>
      <c r="H5" s="31" t="s">
        <v>141</v>
      </c>
    </row>
    <row r="6" customFormat="false" ht="13.5" hidden="false" customHeight="true" outlineLevel="0" collapsed="false">
      <c r="C6" s="149"/>
    </row>
    <row r="7" customFormat="false" ht="13.5" hidden="false" customHeight="true" outlineLevel="0" collapsed="false">
      <c r="B7" s="1" t="s">
        <v>142</v>
      </c>
      <c r="C7" s="148" t="n">
        <v>65</v>
      </c>
      <c r="D7" s="1" t="s">
        <v>41</v>
      </c>
      <c r="F7" s="1" t="s">
        <v>140</v>
      </c>
      <c r="G7" s="151" t="n">
        <f aca="false">G5*9.81</f>
        <v>10.5057756149403</v>
      </c>
      <c r="H7" s="31" t="s">
        <v>143</v>
      </c>
    </row>
    <row r="9" customFormat="false" ht="12.75" hidden="false" customHeight="true" outlineLevel="0" collapsed="false">
      <c r="A9" s="152"/>
      <c r="B9" s="152"/>
      <c r="C9" s="152"/>
      <c r="D9" s="152"/>
      <c r="E9" s="152"/>
      <c r="F9" s="152"/>
      <c r="G9" s="152"/>
      <c r="H9" s="152"/>
    </row>
    <row r="10" customFormat="false" ht="12.75" hidden="false" customHeight="true" outlineLevel="0" collapsed="false">
      <c r="C10" s="149" t="s">
        <v>144</v>
      </c>
      <c r="D10" s="149" t="s">
        <v>145</v>
      </c>
      <c r="E10" s="149" t="s">
        <v>146</v>
      </c>
    </row>
    <row r="11" customFormat="false" ht="12.75" hidden="false" customHeight="true" outlineLevel="0" collapsed="false">
      <c r="C11" s="1" t="s">
        <v>38</v>
      </c>
      <c r="D11" s="1" t="s">
        <v>147</v>
      </c>
      <c r="E11" s="1" t="s">
        <v>148</v>
      </c>
    </row>
    <row r="12" customFormat="false" ht="12.75" hidden="false" customHeight="true" outlineLevel="0" collapsed="false">
      <c r="C12" s="1" t="s">
        <v>16</v>
      </c>
      <c r="D12" s="1" t="s">
        <v>149</v>
      </c>
      <c r="E12" s="1" t="s">
        <v>150</v>
      </c>
    </row>
    <row r="13" customFormat="false" ht="13.5" hidden="false" customHeight="true" outlineLevel="0" collapsed="false">
      <c r="C13" s="31" t="n">
        <v>80</v>
      </c>
      <c r="D13" s="31" t="n">
        <v>1440</v>
      </c>
      <c r="E13" s="31" t="n">
        <v>30</v>
      </c>
    </row>
    <row r="14" customFormat="false" ht="13.5" hidden="false" customHeight="true" outlineLevel="0" collapsed="false">
      <c r="A14" s="1" t="s">
        <v>151</v>
      </c>
      <c r="C14" s="31" t="n">
        <v>69</v>
      </c>
      <c r="D14" s="153" t="n">
        <f aca="false">(C14/C13)*D13</f>
        <v>1242</v>
      </c>
      <c r="E14" s="154" t="n">
        <f aca="false">((D14/D13)^2)*E13</f>
        <v>22.3171875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S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9.13671875" defaultRowHeight="12.75" zeroHeight="false" outlineLevelRow="0" outlineLevelCol="0"/>
  <cols>
    <col collapsed="false" customWidth="true" hidden="false" outlineLevel="0" max="1" min="1" style="31" width="19.14"/>
    <col collapsed="false" customWidth="true" hidden="false" outlineLevel="0" max="2" min="2" style="31" width="16.84"/>
    <col collapsed="false" customWidth="true" hidden="false" outlineLevel="0" max="3" min="3" style="31" width="13.41"/>
    <col collapsed="false" customWidth="true" hidden="false" outlineLevel="0" max="4" min="4" style="31" width="28.14"/>
    <col collapsed="false" customWidth="false" hidden="false" outlineLevel="0" max="5" min="5" style="31" width="9.14"/>
    <col collapsed="false" customWidth="true" hidden="false" outlineLevel="0" max="6" min="6" style="31" width="9.7"/>
    <col collapsed="false" customWidth="false" hidden="false" outlineLevel="0" max="7" min="7" style="31" width="9.14"/>
    <col collapsed="false" customWidth="true" hidden="false" outlineLevel="0" max="8" min="8" style="31" width="13.85"/>
    <col collapsed="false" customWidth="false" hidden="false" outlineLevel="0" max="11" min="9" style="31" width="9.14"/>
    <col collapsed="false" customWidth="true" hidden="false" outlineLevel="0" max="12" min="12" style="31" width="9.7"/>
    <col collapsed="false" customWidth="false" hidden="false" outlineLevel="0" max="13" min="13" style="31" width="9.14"/>
    <col collapsed="false" customWidth="true" hidden="false" outlineLevel="0" max="14" min="14" style="31" width="13.85"/>
    <col collapsed="false" customWidth="false" hidden="false" outlineLevel="0" max="17" min="15" style="31" width="9.14"/>
    <col collapsed="false" customWidth="true" hidden="false" outlineLevel="0" max="18" min="18" style="31" width="9.7"/>
    <col collapsed="false" customWidth="false" hidden="false" outlineLevel="0" max="19" min="19" style="31" width="9.14"/>
    <col collapsed="false" customWidth="true" hidden="false" outlineLevel="0" max="20" min="20" style="31" width="13.85"/>
    <col collapsed="false" customWidth="false" hidden="false" outlineLevel="0" max="23" min="21" style="31" width="9.14"/>
    <col collapsed="false" customWidth="true" hidden="false" outlineLevel="0" max="24" min="24" style="31" width="9.7"/>
    <col collapsed="false" customWidth="false" hidden="false" outlineLevel="0" max="25" min="25" style="31" width="9.14"/>
    <col collapsed="false" customWidth="true" hidden="false" outlineLevel="0" max="26" min="26" style="31" width="13.85"/>
    <col collapsed="false" customWidth="false" hidden="false" outlineLevel="0" max="29" min="27" style="31" width="9.14"/>
    <col collapsed="false" customWidth="true" hidden="false" outlineLevel="0" max="30" min="30" style="31" width="9.7"/>
    <col collapsed="false" customWidth="false" hidden="false" outlineLevel="0" max="31" min="31" style="31" width="9.14"/>
    <col collapsed="false" customWidth="true" hidden="false" outlineLevel="0" max="32" min="32" style="31" width="13.85"/>
    <col collapsed="false" customWidth="false" hidden="false" outlineLevel="0" max="35" min="33" style="31" width="9.14"/>
    <col collapsed="false" customWidth="true" hidden="false" outlineLevel="0" max="36" min="36" style="31" width="9.7"/>
    <col collapsed="false" customWidth="false" hidden="false" outlineLevel="0" max="37" min="37" style="31" width="9.14"/>
    <col collapsed="false" customWidth="true" hidden="false" outlineLevel="0" max="38" min="38" style="31" width="13.85"/>
    <col collapsed="false" customWidth="false" hidden="false" outlineLevel="0" max="41" min="39" style="31" width="9.14"/>
    <col collapsed="false" customWidth="true" hidden="false" outlineLevel="0" max="42" min="42" style="31" width="9.7"/>
    <col collapsed="false" customWidth="false" hidden="false" outlineLevel="0" max="43" min="43" style="31" width="9.14"/>
    <col collapsed="false" customWidth="true" hidden="false" outlineLevel="0" max="44" min="44" style="31" width="13.85"/>
    <col collapsed="false" customWidth="false" hidden="false" outlineLevel="0" max="47" min="45" style="31" width="9.14"/>
    <col collapsed="false" customWidth="true" hidden="false" outlineLevel="0" max="48" min="48" style="31" width="9.7"/>
    <col collapsed="false" customWidth="false" hidden="false" outlineLevel="0" max="49" min="49" style="31" width="9.14"/>
    <col collapsed="false" customWidth="true" hidden="false" outlineLevel="0" max="50" min="50" style="31" width="13.85"/>
    <col collapsed="false" customWidth="false" hidden="false" outlineLevel="0" max="53" min="51" style="31" width="9.14"/>
    <col collapsed="false" customWidth="true" hidden="false" outlineLevel="0" max="54" min="54" style="31" width="9.7"/>
    <col collapsed="false" customWidth="false" hidden="false" outlineLevel="0" max="55" min="55" style="31" width="9.14"/>
    <col collapsed="false" customWidth="true" hidden="false" outlineLevel="0" max="56" min="56" style="31" width="13.85"/>
    <col collapsed="false" customWidth="false" hidden="false" outlineLevel="0" max="59" min="57" style="31" width="9.14"/>
    <col collapsed="false" customWidth="true" hidden="false" outlineLevel="0" max="60" min="60" style="31" width="9.7"/>
    <col collapsed="false" customWidth="false" hidden="false" outlineLevel="0" max="61" min="61" style="31" width="9.14"/>
    <col collapsed="false" customWidth="true" hidden="false" outlineLevel="0" max="62" min="62" style="31" width="13.85"/>
    <col collapsed="false" customWidth="false" hidden="false" outlineLevel="0" max="65" min="63" style="31" width="9.14"/>
    <col collapsed="false" customWidth="true" hidden="false" outlineLevel="0" max="66" min="66" style="31" width="9.7"/>
    <col collapsed="false" customWidth="false" hidden="false" outlineLevel="0" max="67" min="67" style="31" width="9.14"/>
    <col collapsed="false" customWidth="true" hidden="false" outlineLevel="0" max="68" min="68" style="31" width="13.85"/>
    <col collapsed="false" customWidth="false" hidden="false" outlineLevel="0" max="257" min="69" style="31" width="9.14"/>
  </cols>
  <sheetData>
    <row r="1" customFormat="false" ht="14.25" hidden="false" customHeight="true" outlineLevel="0" collapsed="false">
      <c r="A1" s="155" t="s">
        <v>152</v>
      </c>
      <c r="B1" s="156" t="s">
        <v>153</v>
      </c>
      <c r="C1" s="157" t="s">
        <v>154</v>
      </c>
      <c r="D1" s="158" t="s">
        <v>155</v>
      </c>
      <c r="E1" s="159" t="s">
        <v>156</v>
      </c>
      <c r="F1" s="160"/>
      <c r="G1" s="160"/>
      <c r="H1" s="160"/>
      <c r="I1" s="160"/>
      <c r="J1" s="113"/>
      <c r="K1" s="113"/>
      <c r="L1" s="160"/>
      <c r="M1" s="160"/>
      <c r="N1" s="160"/>
      <c r="O1" s="160"/>
      <c r="P1" s="113"/>
      <c r="Q1" s="113"/>
      <c r="R1" s="160"/>
      <c r="S1" s="160"/>
      <c r="T1" s="160"/>
      <c r="U1" s="160"/>
      <c r="V1" s="113"/>
      <c r="W1" s="113"/>
      <c r="X1" s="160"/>
      <c r="Y1" s="160"/>
      <c r="Z1" s="160"/>
      <c r="AA1" s="160"/>
      <c r="AB1" s="113"/>
      <c r="AC1" s="113"/>
      <c r="AD1" s="160"/>
      <c r="AE1" s="160"/>
      <c r="AF1" s="160"/>
      <c r="AG1" s="160"/>
      <c r="AH1" s="113"/>
      <c r="AI1" s="113"/>
      <c r="AJ1" s="160"/>
      <c r="AK1" s="160"/>
      <c r="AL1" s="160"/>
      <c r="AM1" s="160"/>
      <c r="AN1" s="113"/>
      <c r="AO1" s="113"/>
      <c r="AP1" s="160"/>
      <c r="AQ1" s="160"/>
      <c r="AR1" s="160"/>
      <c r="AS1" s="160"/>
      <c r="AT1" s="113"/>
      <c r="AU1" s="113"/>
      <c r="AV1" s="160"/>
      <c r="AW1" s="160"/>
      <c r="AX1" s="160"/>
      <c r="AY1" s="160"/>
      <c r="AZ1" s="113"/>
      <c r="BA1" s="113"/>
      <c r="BB1" s="160"/>
      <c r="BC1" s="160"/>
      <c r="BD1" s="160"/>
      <c r="BE1" s="160"/>
      <c r="BF1" s="113"/>
      <c r="BG1" s="113"/>
      <c r="BH1" s="160"/>
      <c r="BI1" s="160"/>
      <c r="BJ1" s="160"/>
      <c r="BK1" s="160"/>
      <c r="BL1" s="113"/>
      <c r="BM1" s="113"/>
      <c r="BN1" s="160"/>
      <c r="BO1" s="160"/>
      <c r="BP1" s="160"/>
      <c r="BQ1" s="160"/>
      <c r="BR1" s="113"/>
      <c r="BS1" s="113"/>
    </row>
    <row r="2" customFormat="false" ht="12.75" hidden="false" customHeight="true" outlineLevel="0" collapsed="false">
      <c r="A2" s="161" t="s">
        <v>52</v>
      </c>
      <c r="B2" s="162" t="s">
        <v>157</v>
      </c>
      <c r="C2" s="163" t="s">
        <v>158</v>
      </c>
      <c r="D2" s="164" t="s">
        <v>159</v>
      </c>
      <c r="E2" s="165"/>
      <c r="F2" s="161" t="str">
        <f aca="false">D2</f>
        <v>A.B.S (Thermoplastic - Class 4.5)</v>
      </c>
      <c r="G2" s="161"/>
      <c r="H2" s="161"/>
      <c r="I2" s="161"/>
      <c r="J2" s="161"/>
      <c r="K2" s="161"/>
      <c r="L2" s="161" t="str">
        <f aca="false">D3</f>
        <v>A.B.S (Thermoplastic - Class 6)</v>
      </c>
      <c r="M2" s="161"/>
      <c r="N2" s="161"/>
      <c r="O2" s="161"/>
      <c r="P2" s="161"/>
      <c r="Q2" s="161"/>
      <c r="R2" s="161" t="str">
        <f aca="false">D4</f>
        <v>A.B.S (Thermoplastic - Class 9)</v>
      </c>
      <c r="S2" s="161"/>
      <c r="T2" s="161"/>
      <c r="U2" s="161"/>
      <c r="V2" s="161"/>
      <c r="W2" s="161"/>
      <c r="X2" s="161" t="str">
        <f aca="false">D5</f>
        <v>A.B.S (Thermoplastic - Class 10)</v>
      </c>
      <c r="Y2" s="161"/>
      <c r="Z2" s="161"/>
      <c r="AA2" s="161"/>
      <c r="AB2" s="161"/>
      <c r="AC2" s="161"/>
      <c r="AD2" s="161" t="str">
        <f aca="false">D6</f>
        <v>A.B.S (Thermoplastic - Class 12)</v>
      </c>
      <c r="AE2" s="161"/>
      <c r="AF2" s="161"/>
      <c r="AG2" s="161"/>
      <c r="AH2" s="161"/>
      <c r="AI2" s="161"/>
      <c r="AJ2" s="161" t="str">
        <f aca="false">D7</f>
        <v>A.B.S (Thermoplastic - Class 15)</v>
      </c>
      <c r="AK2" s="161"/>
      <c r="AL2" s="161"/>
      <c r="AM2" s="161"/>
      <c r="AN2" s="161"/>
      <c r="AO2" s="161"/>
      <c r="AP2" s="161" t="str">
        <f aca="false">D8</f>
        <v>Coes-therm</v>
      </c>
      <c r="AQ2" s="161"/>
      <c r="AR2" s="161"/>
      <c r="AS2" s="161"/>
      <c r="AT2" s="161"/>
      <c r="AU2" s="161"/>
      <c r="AV2" s="161" t="str">
        <f aca="false">D9</f>
        <v>Copper tube (Type A)</v>
      </c>
      <c r="AW2" s="161"/>
      <c r="AX2" s="161"/>
      <c r="AY2" s="161"/>
      <c r="AZ2" s="161"/>
      <c r="BA2" s="161"/>
      <c r="BB2" s="161" t="str">
        <f aca="false">D10</f>
        <v>Copper tube (Type B)</v>
      </c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</row>
    <row r="3" customFormat="false" ht="12.75" hidden="false" customHeight="true" outlineLevel="0" collapsed="false">
      <c r="A3" s="166" t="s">
        <v>57</v>
      </c>
      <c r="B3" s="167" t="s">
        <v>160</v>
      </c>
      <c r="C3" s="168" t="s">
        <v>161</v>
      </c>
      <c r="D3" s="164" t="s">
        <v>162</v>
      </c>
      <c r="E3" s="165" t="s">
        <v>163</v>
      </c>
      <c r="F3" s="98" t="s">
        <v>164</v>
      </c>
      <c r="G3" s="169" t="s">
        <v>165</v>
      </c>
      <c r="H3" s="170" t="s">
        <v>166</v>
      </c>
      <c r="I3" s="170" t="s">
        <v>167</v>
      </c>
      <c r="J3" s="169"/>
      <c r="K3" s="171"/>
      <c r="L3" s="98" t="s">
        <v>164</v>
      </c>
      <c r="M3" s="169" t="s">
        <v>165</v>
      </c>
      <c r="N3" s="170" t="s">
        <v>166</v>
      </c>
      <c r="O3" s="170" t="s">
        <v>167</v>
      </c>
      <c r="P3" s="169"/>
      <c r="Q3" s="171"/>
      <c r="R3" s="98" t="s">
        <v>164</v>
      </c>
      <c r="S3" s="169" t="s">
        <v>165</v>
      </c>
      <c r="T3" s="170" t="s">
        <v>166</v>
      </c>
      <c r="U3" s="170" t="s">
        <v>167</v>
      </c>
      <c r="V3" s="169"/>
      <c r="W3" s="171"/>
      <c r="X3" s="98" t="s">
        <v>164</v>
      </c>
      <c r="Y3" s="169" t="s">
        <v>165</v>
      </c>
      <c r="Z3" s="170" t="s">
        <v>166</v>
      </c>
      <c r="AA3" s="170" t="s">
        <v>167</v>
      </c>
      <c r="AB3" s="169"/>
      <c r="AC3" s="171"/>
      <c r="AD3" s="98" t="s">
        <v>164</v>
      </c>
      <c r="AE3" s="169" t="s">
        <v>165</v>
      </c>
      <c r="AF3" s="170" t="s">
        <v>166</v>
      </c>
      <c r="AG3" s="170" t="s">
        <v>167</v>
      </c>
      <c r="AH3" s="169"/>
      <c r="AI3" s="171"/>
      <c r="AJ3" s="98" t="s">
        <v>164</v>
      </c>
      <c r="AK3" s="169" t="s">
        <v>165</v>
      </c>
      <c r="AL3" s="170" t="s">
        <v>166</v>
      </c>
      <c r="AM3" s="170" t="s">
        <v>167</v>
      </c>
      <c r="AN3" s="169"/>
      <c r="AO3" s="171"/>
      <c r="AP3" s="98" t="s">
        <v>164</v>
      </c>
      <c r="AQ3" s="169" t="s">
        <v>165</v>
      </c>
      <c r="AR3" s="170" t="s">
        <v>166</v>
      </c>
      <c r="AS3" s="170" t="s">
        <v>167</v>
      </c>
      <c r="AT3" s="169"/>
      <c r="AU3" s="171"/>
      <c r="AV3" s="98" t="s">
        <v>164</v>
      </c>
      <c r="AW3" s="169" t="s">
        <v>165</v>
      </c>
      <c r="AX3" s="170" t="s">
        <v>166</v>
      </c>
      <c r="AY3" s="170" t="s">
        <v>167</v>
      </c>
      <c r="AZ3" s="169"/>
      <c r="BA3" s="171"/>
      <c r="BB3" s="98" t="s">
        <v>164</v>
      </c>
      <c r="BC3" s="169" t="s">
        <v>165</v>
      </c>
      <c r="BD3" s="170" t="s">
        <v>166</v>
      </c>
      <c r="BE3" s="170" t="s">
        <v>167</v>
      </c>
      <c r="BF3" s="169"/>
      <c r="BG3" s="171"/>
      <c r="BH3" s="98" t="s">
        <v>164</v>
      </c>
      <c r="BI3" s="169" t="s">
        <v>165</v>
      </c>
      <c r="BJ3" s="170" t="s">
        <v>166</v>
      </c>
      <c r="BK3" s="170" t="s">
        <v>167</v>
      </c>
      <c r="BL3" s="169"/>
      <c r="BM3" s="171"/>
      <c r="BN3" s="98" t="s">
        <v>164</v>
      </c>
      <c r="BO3" s="169" t="s">
        <v>165</v>
      </c>
      <c r="BP3" s="170" t="s">
        <v>166</v>
      </c>
      <c r="BQ3" s="170" t="s">
        <v>167</v>
      </c>
      <c r="BR3" s="169"/>
      <c r="BS3" s="171"/>
    </row>
    <row r="4" customFormat="false" ht="13.5" hidden="false" customHeight="true" outlineLevel="0" collapsed="false">
      <c r="A4" s="166" t="s">
        <v>55</v>
      </c>
      <c r="B4" s="167" t="s">
        <v>168</v>
      </c>
      <c r="C4" s="168" t="s">
        <v>169</v>
      </c>
      <c r="D4" s="164" t="s">
        <v>170</v>
      </c>
      <c r="E4" s="172" t="s">
        <v>171</v>
      </c>
      <c r="F4" s="123" t="s">
        <v>171</v>
      </c>
      <c r="G4" s="173" t="s">
        <v>41</v>
      </c>
      <c r="H4" s="174" t="s">
        <v>172</v>
      </c>
      <c r="I4" s="174" t="s">
        <v>173</v>
      </c>
      <c r="J4" s="174"/>
      <c r="K4" s="175"/>
      <c r="L4" s="123" t="s">
        <v>171</v>
      </c>
      <c r="M4" s="173" t="s">
        <v>41</v>
      </c>
      <c r="N4" s="174" t="s">
        <v>172</v>
      </c>
      <c r="O4" s="174" t="s">
        <v>173</v>
      </c>
      <c r="P4" s="174"/>
      <c r="Q4" s="175"/>
      <c r="R4" s="123" t="s">
        <v>171</v>
      </c>
      <c r="S4" s="173" t="s">
        <v>41</v>
      </c>
      <c r="T4" s="174" t="s">
        <v>172</v>
      </c>
      <c r="U4" s="174" t="s">
        <v>173</v>
      </c>
      <c r="V4" s="174"/>
      <c r="W4" s="175"/>
      <c r="X4" s="123" t="s">
        <v>171</v>
      </c>
      <c r="Y4" s="173" t="s">
        <v>41</v>
      </c>
      <c r="Z4" s="174" t="s">
        <v>172</v>
      </c>
      <c r="AA4" s="174" t="s">
        <v>173</v>
      </c>
      <c r="AB4" s="174"/>
      <c r="AC4" s="175"/>
      <c r="AD4" s="123" t="s">
        <v>171</v>
      </c>
      <c r="AE4" s="173" t="s">
        <v>41</v>
      </c>
      <c r="AF4" s="174" t="s">
        <v>172</v>
      </c>
      <c r="AG4" s="174" t="s">
        <v>173</v>
      </c>
      <c r="AH4" s="174"/>
      <c r="AI4" s="175"/>
      <c r="AJ4" s="123" t="s">
        <v>171</v>
      </c>
      <c r="AK4" s="173" t="s">
        <v>41</v>
      </c>
      <c r="AL4" s="174" t="s">
        <v>172</v>
      </c>
      <c r="AM4" s="174" t="s">
        <v>173</v>
      </c>
      <c r="AN4" s="174"/>
      <c r="AO4" s="175"/>
      <c r="AP4" s="123" t="s">
        <v>171</v>
      </c>
      <c r="AQ4" s="173" t="s">
        <v>41</v>
      </c>
      <c r="AR4" s="174" t="s">
        <v>172</v>
      </c>
      <c r="AS4" s="174" t="s">
        <v>173</v>
      </c>
      <c r="AT4" s="174"/>
      <c r="AU4" s="175"/>
      <c r="AV4" s="123" t="s">
        <v>171</v>
      </c>
      <c r="AW4" s="173" t="s">
        <v>41</v>
      </c>
      <c r="AX4" s="174" t="s">
        <v>172</v>
      </c>
      <c r="AY4" s="174" t="s">
        <v>173</v>
      </c>
      <c r="AZ4" s="174"/>
      <c r="BA4" s="175"/>
      <c r="BB4" s="123" t="s">
        <v>171</v>
      </c>
      <c r="BC4" s="173" t="s">
        <v>41</v>
      </c>
      <c r="BD4" s="174" t="s">
        <v>172</v>
      </c>
      <c r="BE4" s="174" t="s">
        <v>173</v>
      </c>
      <c r="BF4" s="174"/>
      <c r="BG4" s="175"/>
      <c r="BH4" s="123" t="s">
        <v>171</v>
      </c>
      <c r="BI4" s="173" t="s">
        <v>41</v>
      </c>
      <c r="BJ4" s="174" t="s">
        <v>172</v>
      </c>
      <c r="BK4" s="174" t="s">
        <v>173</v>
      </c>
      <c r="BL4" s="174"/>
      <c r="BM4" s="175"/>
      <c r="BN4" s="123" t="s">
        <v>171</v>
      </c>
      <c r="BO4" s="173" t="s">
        <v>41</v>
      </c>
      <c r="BP4" s="174" t="s">
        <v>172</v>
      </c>
      <c r="BQ4" s="174" t="s">
        <v>173</v>
      </c>
      <c r="BR4" s="174"/>
      <c r="BS4" s="175"/>
    </row>
    <row r="5" customFormat="false" ht="12.75" hidden="false" customHeight="true" outlineLevel="0" collapsed="false">
      <c r="A5" s="166" t="s">
        <v>68</v>
      </c>
      <c r="B5" s="167" t="s">
        <v>174</v>
      </c>
      <c r="C5" s="168" t="s">
        <v>175</v>
      </c>
      <c r="D5" s="164" t="s">
        <v>176</v>
      </c>
      <c r="E5" s="176" t="n">
        <v>15</v>
      </c>
      <c r="F5" s="177"/>
      <c r="G5" s="178"/>
      <c r="H5" s="112"/>
      <c r="I5" s="179"/>
      <c r="J5" s="179"/>
      <c r="K5" s="180"/>
      <c r="L5" s="177"/>
      <c r="M5" s="178"/>
      <c r="N5" s="112"/>
      <c r="O5" s="179"/>
      <c r="P5" s="179"/>
      <c r="Q5" s="180"/>
      <c r="R5" s="177"/>
      <c r="S5" s="178"/>
      <c r="T5" s="112"/>
      <c r="U5" s="181"/>
      <c r="V5" s="179"/>
      <c r="W5" s="180"/>
      <c r="X5" s="177"/>
      <c r="Y5" s="178"/>
      <c r="Z5" s="112"/>
      <c r="AA5" s="179"/>
      <c r="AB5" s="179"/>
      <c r="AC5" s="180"/>
      <c r="AD5" s="177"/>
      <c r="AE5" s="178"/>
      <c r="AF5" s="112"/>
      <c r="AG5" s="179"/>
      <c r="AH5" s="179"/>
      <c r="AI5" s="180"/>
      <c r="AJ5" s="182" t="n">
        <v>17.1</v>
      </c>
      <c r="AK5" s="183" t="n">
        <v>2.1</v>
      </c>
      <c r="AL5" s="170" t="n">
        <v>1500</v>
      </c>
      <c r="AM5" s="76" t="n">
        <v>0.14</v>
      </c>
      <c r="AN5" s="184"/>
      <c r="AO5" s="83"/>
      <c r="AP5" s="182"/>
      <c r="AQ5" s="183"/>
      <c r="AR5" s="170"/>
      <c r="AS5" s="184"/>
      <c r="AT5" s="184"/>
      <c r="AU5" s="83"/>
      <c r="AV5" s="182" t="n">
        <v>12.7</v>
      </c>
      <c r="AW5" s="136" t="n">
        <v>1.02</v>
      </c>
      <c r="AX5" s="170" t="n">
        <v>6380</v>
      </c>
      <c r="AY5" s="184"/>
      <c r="AZ5" s="184"/>
      <c r="BA5" s="83"/>
      <c r="BB5" s="182" t="n">
        <v>10.84</v>
      </c>
      <c r="BC5" s="183"/>
      <c r="BD5" s="170"/>
      <c r="BE5" s="184"/>
      <c r="BF5" s="184"/>
      <c r="BG5" s="83"/>
      <c r="BH5" s="182"/>
      <c r="BI5" s="183"/>
      <c r="BJ5" s="170"/>
      <c r="BK5" s="184"/>
      <c r="BL5" s="184"/>
      <c r="BM5" s="83"/>
      <c r="BN5" s="182"/>
      <c r="BO5" s="183"/>
      <c r="BP5" s="170"/>
      <c r="BQ5" s="184"/>
      <c r="BR5" s="184"/>
      <c r="BS5" s="83"/>
    </row>
    <row r="6" customFormat="false" ht="12.75" hidden="false" customHeight="true" outlineLevel="0" collapsed="false">
      <c r="A6" s="166" t="s">
        <v>91</v>
      </c>
      <c r="B6" s="167" t="s">
        <v>177</v>
      </c>
      <c r="C6" s="168" t="s">
        <v>178</v>
      </c>
      <c r="D6" s="164" t="s">
        <v>179</v>
      </c>
      <c r="E6" s="176" t="n">
        <v>20</v>
      </c>
      <c r="F6" s="177"/>
      <c r="G6" s="178"/>
      <c r="H6" s="112"/>
      <c r="I6" s="179"/>
      <c r="J6" s="179"/>
      <c r="K6" s="180"/>
      <c r="L6" s="177"/>
      <c r="M6" s="178"/>
      <c r="N6" s="112"/>
      <c r="O6" s="179"/>
      <c r="P6" s="179"/>
      <c r="Q6" s="180"/>
      <c r="R6" s="177"/>
      <c r="S6" s="178"/>
      <c r="T6" s="112"/>
      <c r="U6" s="181"/>
      <c r="V6" s="179"/>
      <c r="W6" s="180"/>
      <c r="X6" s="177"/>
      <c r="Y6" s="178"/>
      <c r="Z6" s="112"/>
      <c r="AA6" s="179"/>
      <c r="AB6" s="179"/>
      <c r="AC6" s="180"/>
      <c r="AD6" s="177"/>
      <c r="AE6" s="178"/>
      <c r="AF6" s="112"/>
      <c r="AG6" s="179"/>
      <c r="AH6" s="179"/>
      <c r="AI6" s="180"/>
      <c r="AJ6" s="182" t="n">
        <v>21.4</v>
      </c>
      <c r="AK6" s="183" t="n">
        <v>2.7</v>
      </c>
      <c r="AL6" s="170" t="n">
        <v>1500</v>
      </c>
      <c r="AM6" s="76" t="n">
        <v>0.22</v>
      </c>
      <c r="AN6" s="184"/>
      <c r="AO6" s="83"/>
      <c r="AP6" s="182"/>
      <c r="AQ6" s="183"/>
      <c r="AR6" s="170"/>
      <c r="AS6" s="184"/>
      <c r="AT6" s="184"/>
      <c r="AU6" s="83"/>
      <c r="AV6" s="182" t="n">
        <v>19.05</v>
      </c>
      <c r="AW6" s="136" t="n">
        <v>1.42</v>
      </c>
      <c r="AX6" s="170" t="n">
        <v>5900</v>
      </c>
      <c r="AY6" s="184"/>
      <c r="AZ6" s="184"/>
      <c r="BA6" s="83"/>
      <c r="BB6" s="182"/>
      <c r="BC6" s="183"/>
      <c r="BD6" s="170"/>
      <c r="BE6" s="184"/>
      <c r="BF6" s="184"/>
      <c r="BG6" s="83"/>
      <c r="BH6" s="182"/>
      <c r="BI6" s="183"/>
      <c r="BJ6" s="170"/>
      <c r="BK6" s="184"/>
      <c r="BL6" s="184"/>
      <c r="BM6" s="83"/>
      <c r="BN6" s="182"/>
      <c r="BO6" s="183"/>
      <c r="BP6" s="170"/>
      <c r="BQ6" s="184"/>
      <c r="BR6" s="184"/>
      <c r="BS6" s="83"/>
    </row>
    <row r="7" customFormat="false" ht="12.75" hidden="false" customHeight="true" outlineLevel="0" collapsed="false">
      <c r="A7" s="166" t="s">
        <v>63</v>
      </c>
      <c r="B7" s="167" t="s">
        <v>180</v>
      </c>
      <c r="C7" s="168"/>
      <c r="D7" s="164" t="s">
        <v>181</v>
      </c>
      <c r="E7" s="176" t="n">
        <v>25</v>
      </c>
      <c r="F7" s="177"/>
      <c r="G7" s="178"/>
      <c r="H7" s="112"/>
      <c r="I7" s="179"/>
      <c r="J7" s="179"/>
      <c r="K7" s="180"/>
      <c r="L7" s="177"/>
      <c r="M7" s="178"/>
      <c r="N7" s="112"/>
      <c r="O7" s="179"/>
      <c r="P7" s="179"/>
      <c r="Q7" s="180"/>
      <c r="R7" s="182" t="n">
        <v>29.4</v>
      </c>
      <c r="S7" s="183" t="n">
        <v>2.1</v>
      </c>
      <c r="T7" s="170" t="n">
        <v>900</v>
      </c>
      <c r="U7" s="76" t="n">
        <v>0.23</v>
      </c>
      <c r="V7" s="184"/>
      <c r="W7" s="83"/>
      <c r="X7" s="177"/>
      <c r="Y7" s="178"/>
      <c r="Z7" s="112"/>
      <c r="AA7" s="179"/>
      <c r="AB7" s="179"/>
      <c r="AC7" s="180"/>
      <c r="AD7" s="177"/>
      <c r="AE7" s="178"/>
      <c r="AF7" s="112"/>
      <c r="AG7" s="179"/>
      <c r="AH7" s="179"/>
      <c r="AI7" s="180"/>
      <c r="AJ7" s="182" t="n">
        <v>26.9</v>
      </c>
      <c r="AK7" s="183" t="n">
        <v>3.3</v>
      </c>
      <c r="AL7" s="170" t="n">
        <v>1500</v>
      </c>
      <c r="AM7" s="76" t="n">
        <v>0.35</v>
      </c>
      <c r="AN7" s="184"/>
      <c r="AO7" s="83"/>
      <c r="AP7" s="182"/>
      <c r="AQ7" s="183"/>
      <c r="AR7" s="170"/>
      <c r="AS7" s="184"/>
      <c r="AT7" s="184"/>
      <c r="AU7" s="83"/>
      <c r="AV7" s="182" t="n">
        <v>25.4</v>
      </c>
      <c r="AW7" s="136" t="n">
        <v>1.63</v>
      </c>
      <c r="AX7" s="170" t="n">
        <v>5070</v>
      </c>
      <c r="AY7" s="184"/>
      <c r="AZ7" s="184"/>
      <c r="BA7" s="83"/>
      <c r="BB7" s="182"/>
      <c r="BC7" s="183"/>
      <c r="BD7" s="170"/>
      <c r="BE7" s="184"/>
      <c r="BF7" s="184"/>
      <c r="BG7" s="83"/>
      <c r="BH7" s="182"/>
      <c r="BI7" s="183"/>
      <c r="BJ7" s="170"/>
      <c r="BK7" s="184"/>
      <c r="BL7" s="184"/>
      <c r="BM7" s="83"/>
      <c r="BN7" s="182"/>
      <c r="BO7" s="183"/>
      <c r="BP7" s="170"/>
      <c r="BQ7" s="184"/>
      <c r="BR7" s="184"/>
      <c r="BS7" s="83"/>
    </row>
    <row r="8" customFormat="false" ht="12.75" hidden="false" customHeight="true" outlineLevel="0" collapsed="false">
      <c r="A8" s="166" t="s">
        <v>182</v>
      </c>
      <c r="B8" s="167" t="s">
        <v>183</v>
      </c>
      <c r="C8" s="168"/>
      <c r="D8" s="164" t="s">
        <v>184</v>
      </c>
      <c r="E8" s="176" t="n">
        <v>32</v>
      </c>
      <c r="F8" s="177"/>
      <c r="G8" s="178"/>
      <c r="H8" s="112"/>
      <c r="I8" s="179"/>
      <c r="J8" s="179"/>
      <c r="K8" s="180"/>
      <c r="L8" s="177"/>
      <c r="M8" s="178"/>
      <c r="N8" s="112"/>
      <c r="O8" s="179"/>
      <c r="P8" s="179"/>
      <c r="Q8" s="180"/>
      <c r="R8" s="182" t="n">
        <v>37</v>
      </c>
      <c r="S8" s="183" t="n">
        <v>2.6</v>
      </c>
      <c r="T8" s="170" t="n">
        <v>900</v>
      </c>
      <c r="U8" s="76" t="n">
        <v>0.35</v>
      </c>
      <c r="V8" s="184"/>
      <c r="W8" s="83"/>
      <c r="X8" s="177"/>
      <c r="Y8" s="178"/>
      <c r="Z8" s="112"/>
      <c r="AA8" s="179"/>
      <c r="AB8" s="179"/>
      <c r="AC8" s="180"/>
      <c r="AD8" s="177"/>
      <c r="AE8" s="178"/>
      <c r="AF8" s="112"/>
      <c r="AG8" s="179"/>
      <c r="AH8" s="179"/>
      <c r="AI8" s="180"/>
      <c r="AJ8" s="182" t="n">
        <v>34</v>
      </c>
      <c r="AK8" s="183" t="n">
        <v>4.1</v>
      </c>
      <c r="AL8" s="170" t="n">
        <v>1500</v>
      </c>
      <c r="AM8" s="76" t="n">
        <v>0.55</v>
      </c>
      <c r="AN8" s="184"/>
      <c r="AO8" s="83"/>
      <c r="AP8" s="182"/>
      <c r="AQ8" s="183"/>
      <c r="AR8" s="170"/>
      <c r="AS8" s="184"/>
      <c r="AT8" s="184"/>
      <c r="AU8" s="83"/>
      <c r="AV8" s="182" t="n">
        <v>31.75</v>
      </c>
      <c r="AW8" s="136" t="n">
        <v>1.63</v>
      </c>
      <c r="AX8" s="170" t="n">
        <v>4010</v>
      </c>
      <c r="AY8" s="184"/>
      <c r="AZ8" s="184"/>
      <c r="BA8" s="83"/>
      <c r="BB8" s="182"/>
      <c r="BC8" s="183"/>
      <c r="BD8" s="170"/>
      <c r="BE8" s="184"/>
      <c r="BF8" s="184"/>
      <c r="BG8" s="83"/>
      <c r="BH8" s="182"/>
      <c r="BI8" s="183"/>
      <c r="BJ8" s="170"/>
      <c r="BK8" s="184"/>
      <c r="BL8" s="184"/>
      <c r="BM8" s="83"/>
      <c r="BN8" s="182"/>
      <c r="BO8" s="183"/>
      <c r="BP8" s="170"/>
      <c r="BQ8" s="184"/>
      <c r="BR8" s="184"/>
      <c r="BS8" s="83"/>
    </row>
    <row r="9" customFormat="false" ht="12.75" hidden="false" customHeight="true" outlineLevel="0" collapsed="false">
      <c r="A9" s="166" t="s">
        <v>112</v>
      </c>
      <c r="B9" s="167" t="s">
        <v>185</v>
      </c>
      <c r="C9" s="168"/>
      <c r="D9" s="164" t="s">
        <v>186</v>
      </c>
      <c r="E9" s="176" t="n">
        <v>40</v>
      </c>
      <c r="F9" s="177"/>
      <c r="G9" s="178"/>
      <c r="H9" s="112"/>
      <c r="I9" s="179"/>
      <c r="J9" s="179"/>
      <c r="K9" s="180"/>
      <c r="L9" s="177"/>
      <c r="M9" s="178"/>
      <c r="N9" s="112"/>
      <c r="O9" s="179"/>
      <c r="P9" s="179"/>
      <c r="Q9" s="180"/>
      <c r="R9" s="182" t="n">
        <v>42.3</v>
      </c>
      <c r="S9" s="183" t="n">
        <v>3</v>
      </c>
      <c r="T9" s="170" t="n">
        <v>900</v>
      </c>
      <c r="U9" s="76" t="n">
        <v>0.45</v>
      </c>
      <c r="V9" s="184"/>
      <c r="W9" s="83"/>
      <c r="X9" s="177"/>
      <c r="Y9" s="178"/>
      <c r="Z9" s="112"/>
      <c r="AA9" s="179"/>
      <c r="AB9" s="179"/>
      <c r="AC9" s="180"/>
      <c r="AD9" s="177"/>
      <c r="AE9" s="178"/>
      <c r="AF9" s="112"/>
      <c r="AG9" s="179"/>
      <c r="AH9" s="179"/>
      <c r="AI9" s="180"/>
      <c r="AJ9" s="182" t="n">
        <v>38.8</v>
      </c>
      <c r="AK9" s="183" t="n">
        <v>4.7</v>
      </c>
      <c r="AL9" s="170" t="n">
        <v>1500</v>
      </c>
      <c r="AM9" s="76" t="n">
        <v>0.7</v>
      </c>
      <c r="AN9" s="184"/>
      <c r="AO9" s="83"/>
      <c r="AP9" s="182"/>
      <c r="AQ9" s="183"/>
      <c r="AR9" s="170"/>
      <c r="AS9" s="184"/>
      <c r="AT9" s="184"/>
      <c r="AU9" s="83"/>
      <c r="AV9" s="182" t="n">
        <v>38.1</v>
      </c>
      <c r="AW9" s="136" t="n">
        <v>1.63</v>
      </c>
      <c r="AX9" s="170" t="n">
        <v>3310</v>
      </c>
      <c r="AY9" s="184"/>
      <c r="AZ9" s="184"/>
      <c r="BA9" s="83"/>
      <c r="BB9" s="182"/>
      <c r="BC9" s="183"/>
      <c r="BD9" s="170"/>
      <c r="BE9" s="184"/>
      <c r="BF9" s="184"/>
      <c r="BG9" s="83"/>
      <c r="BH9" s="182"/>
      <c r="BI9" s="183"/>
      <c r="BJ9" s="170"/>
      <c r="BK9" s="184"/>
      <c r="BL9" s="184"/>
      <c r="BM9" s="83"/>
      <c r="BN9" s="182"/>
      <c r="BO9" s="183"/>
      <c r="BP9" s="170"/>
      <c r="BQ9" s="184"/>
      <c r="BR9" s="184"/>
      <c r="BS9" s="83"/>
    </row>
    <row r="10" customFormat="false" ht="12.75" hidden="false" customHeight="true" outlineLevel="0" collapsed="false">
      <c r="A10" s="166" t="s">
        <v>107</v>
      </c>
      <c r="B10" s="167"/>
      <c r="C10" s="168"/>
      <c r="D10" s="164" t="s">
        <v>187</v>
      </c>
      <c r="E10" s="176" t="n">
        <v>50</v>
      </c>
      <c r="F10" s="177"/>
      <c r="G10" s="178"/>
      <c r="H10" s="112"/>
      <c r="I10" s="179"/>
      <c r="J10" s="179"/>
      <c r="K10" s="180"/>
      <c r="L10" s="177"/>
      <c r="M10" s="178"/>
      <c r="N10" s="112"/>
      <c r="O10" s="179"/>
      <c r="P10" s="179"/>
      <c r="Q10" s="180"/>
      <c r="R10" s="182" t="n">
        <v>53</v>
      </c>
      <c r="S10" s="183" t="n">
        <v>3.7</v>
      </c>
      <c r="T10" s="170" t="n">
        <v>900</v>
      </c>
      <c r="U10" s="76" t="n">
        <v>0.7</v>
      </c>
      <c r="V10" s="184"/>
      <c r="W10" s="83"/>
      <c r="X10" s="177"/>
      <c r="Y10" s="178"/>
      <c r="Z10" s="112"/>
      <c r="AA10" s="179"/>
      <c r="AB10" s="179"/>
      <c r="AC10" s="180"/>
      <c r="AD10" s="182" t="n">
        <v>50.8</v>
      </c>
      <c r="AE10" s="183" t="n">
        <v>4.8</v>
      </c>
      <c r="AF10" s="170" t="n">
        <v>1200</v>
      </c>
      <c r="AG10" s="184" t="n">
        <v>0.9</v>
      </c>
      <c r="AH10" s="184"/>
      <c r="AI10" s="83"/>
      <c r="AJ10" s="177"/>
      <c r="AK10" s="178"/>
      <c r="AL10" s="112"/>
      <c r="AM10" s="181"/>
      <c r="AN10" s="179"/>
      <c r="AO10" s="180"/>
      <c r="AP10" s="182"/>
      <c r="AQ10" s="183"/>
      <c r="AR10" s="170"/>
      <c r="AS10" s="184"/>
      <c r="AT10" s="184"/>
      <c r="AU10" s="83"/>
      <c r="AV10" s="182" t="n">
        <v>50.8</v>
      </c>
      <c r="AW10" s="136" t="n">
        <v>1.63</v>
      </c>
      <c r="AX10" s="170" t="n">
        <v>2460</v>
      </c>
      <c r="AY10" s="184"/>
      <c r="AZ10" s="184"/>
      <c r="BA10" s="83"/>
      <c r="BB10" s="182"/>
      <c r="BC10" s="183"/>
      <c r="BD10" s="170"/>
      <c r="BE10" s="184"/>
      <c r="BF10" s="184"/>
      <c r="BG10" s="83"/>
      <c r="BH10" s="182"/>
      <c r="BI10" s="183"/>
      <c r="BJ10" s="170"/>
      <c r="BK10" s="184"/>
      <c r="BL10" s="184"/>
      <c r="BM10" s="83"/>
      <c r="BN10" s="182"/>
      <c r="BO10" s="183"/>
      <c r="BP10" s="170"/>
      <c r="BQ10" s="184"/>
      <c r="BR10" s="184"/>
      <c r="BS10" s="83"/>
    </row>
    <row r="11" customFormat="false" ht="12.75" hidden="false" customHeight="true" outlineLevel="0" collapsed="false">
      <c r="A11" s="166" t="s">
        <v>188</v>
      </c>
      <c r="B11" s="167"/>
      <c r="C11" s="85"/>
      <c r="D11" s="164" t="s">
        <v>189</v>
      </c>
      <c r="E11" s="176" t="n">
        <v>65</v>
      </c>
      <c r="F11" s="177"/>
      <c r="G11" s="178"/>
      <c r="H11" s="112"/>
      <c r="I11" s="179"/>
      <c r="J11" s="179"/>
      <c r="K11" s="180"/>
      <c r="L11" s="177"/>
      <c r="M11" s="178"/>
      <c r="N11" s="112"/>
      <c r="O11" s="179"/>
      <c r="P11" s="179"/>
      <c r="Q11" s="180"/>
      <c r="R11" s="177"/>
      <c r="S11" s="178"/>
      <c r="T11" s="112"/>
      <c r="U11" s="181"/>
      <c r="V11" s="179"/>
      <c r="W11" s="180"/>
      <c r="X11" s="177"/>
      <c r="Y11" s="178"/>
      <c r="Z11" s="112"/>
      <c r="AA11" s="179"/>
      <c r="AB11" s="179"/>
      <c r="AC11" s="180"/>
      <c r="AD11" s="177"/>
      <c r="AE11" s="178"/>
      <c r="AF11" s="112"/>
      <c r="AG11" s="179"/>
      <c r="AH11" s="179"/>
      <c r="AI11" s="180"/>
      <c r="AJ11" s="182" t="n">
        <v>48.6</v>
      </c>
      <c r="AK11" s="183" t="n">
        <v>5.9</v>
      </c>
      <c r="AL11" s="170" t="n">
        <v>1500</v>
      </c>
      <c r="AM11" s="76" t="n">
        <v>1.1</v>
      </c>
      <c r="AN11" s="184"/>
      <c r="AO11" s="83"/>
      <c r="AP11" s="182"/>
      <c r="AQ11" s="183"/>
      <c r="AR11" s="170"/>
      <c r="AS11" s="184"/>
      <c r="AT11" s="184"/>
      <c r="AU11" s="83"/>
      <c r="AV11" s="182" t="n">
        <v>63.5</v>
      </c>
      <c r="AW11" s="136" t="n">
        <v>1.63</v>
      </c>
      <c r="AX11" s="170" t="n">
        <v>1960</v>
      </c>
      <c r="AY11" s="184"/>
      <c r="AZ11" s="184"/>
      <c r="BA11" s="83"/>
      <c r="BB11" s="182"/>
      <c r="BC11" s="183"/>
      <c r="BD11" s="170"/>
      <c r="BE11" s="184"/>
      <c r="BF11" s="184"/>
      <c r="BG11" s="83"/>
      <c r="BH11" s="182"/>
      <c r="BI11" s="183"/>
      <c r="BJ11" s="170"/>
      <c r="BK11" s="184"/>
      <c r="BL11" s="184"/>
      <c r="BM11" s="83"/>
      <c r="BN11" s="182"/>
      <c r="BO11" s="183"/>
      <c r="BP11" s="170"/>
      <c r="BQ11" s="184"/>
      <c r="BR11" s="184"/>
      <c r="BS11" s="83"/>
    </row>
    <row r="12" customFormat="false" ht="12.75" hidden="false" customHeight="true" outlineLevel="0" collapsed="false">
      <c r="A12" s="166" t="s">
        <v>190</v>
      </c>
      <c r="B12" s="167"/>
      <c r="C12" s="85"/>
      <c r="D12" s="164" t="s">
        <v>191</v>
      </c>
      <c r="E12" s="176" t="n">
        <v>80</v>
      </c>
      <c r="F12" s="177"/>
      <c r="G12" s="178"/>
      <c r="H12" s="112"/>
      <c r="I12" s="179"/>
      <c r="J12" s="179"/>
      <c r="K12" s="180"/>
      <c r="L12" s="182" t="n">
        <v>81.5</v>
      </c>
      <c r="M12" s="183" t="n">
        <v>3.7</v>
      </c>
      <c r="N12" s="170" t="n">
        <v>600</v>
      </c>
      <c r="O12" s="184" t="n">
        <v>1.1</v>
      </c>
      <c r="P12" s="184"/>
      <c r="Q12" s="83"/>
      <c r="R12" s="182" t="n">
        <v>78.1</v>
      </c>
      <c r="S12" s="183" t="n">
        <v>5.4</v>
      </c>
      <c r="T12" s="170" t="n">
        <v>900</v>
      </c>
      <c r="U12" s="76" t="n">
        <v>1.6</v>
      </c>
      <c r="V12" s="184"/>
      <c r="W12" s="83"/>
      <c r="X12" s="177"/>
      <c r="Y12" s="178"/>
      <c r="Z12" s="112"/>
      <c r="AA12" s="179"/>
      <c r="AB12" s="179"/>
      <c r="AC12" s="180"/>
      <c r="AD12" s="182" t="n">
        <v>74.9</v>
      </c>
      <c r="AE12" s="183" t="n">
        <v>7</v>
      </c>
      <c r="AF12" s="170" t="n">
        <v>1200</v>
      </c>
      <c r="AG12" s="184" t="n">
        <v>2</v>
      </c>
      <c r="AH12" s="184"/>
      <c r="AI12" s="83"/>
      <c r="AJ12" s="182" t="n">
        <v>71.7</v>
      </c>
      <c r="AK12" s="183" t="n">
        <v>8.6</v>
      </c>
      <c r="AL12" s="170" t="n">
        <v>1500</v>
      </c>
      <c r="AM12" s="76" t="n">
        <v>2.4</v>
      </c>
      <c r="AN12" s="184"/>
      <c r="AO12" s="83"/>
      <c r="AP12" s="182"/>
      <c r="AQ12" s="183"/>
      <c r="AR12" s="170"/>
      <c r="AS12" s="184"/>
      <c r="AT12" s="184"/>
      <c r="AU12" s="83"/>
      <c r="AV12" s="182" t="n">
        <v>76.2</v>
      </c>
      <c r="AW12" s="136" t="n">
        <v>2.03</v>
      </c>
      <c r="AX12" s="170" t="n">
        <v>2030</v>
      </c>
      <c r="AY12" s="184"/>
      <c r="AZ12" s="184"/>
      <c r="BA12" s="83"/>
      <c r="BB12" s="182"/>
      <c r="BC12" s="183"/>
      <c r="BD12" s="170"/>
      <c r="BE12" s="184"/>
      <c r="BF12" s="184"/>
      <c r="BG12" s="83"/>
      <c r="BH12" s="182"/>
      <c r="BI12" s="183"/>
      <c r="BJ12" s="170"/>
      <c r="BK12" s="184"/>
      <c r="BL12" s="184"/>
      <c r="BM12" s="83"/>
      <c r="BN12" s="182"/>
      <c r="BO12" s="183"/>
      <c r="BP12" s="170"/>
      <c r="BQ12" s="184"/>
      <c r="BR12" s="184"/>
      <c r="BS12" s="83"/>
    </row>
    <row r="13" customFormat="false" ht="12.75" hidden="false" customHeight="true" outlineLevel="0" collapsed="false">
      <c r="A13" s="166" t="s">
        <v>49</v>
      </c>
      <c r="B13" s="167"/>
      <c r="C13" s="85"/>
      <c r="D13" s="164" t="s">
        <v>192</v>
      </c>
      <c r="E13" s="176" t="n">
        <v>100</v>
      </c>
      <c r="F13" s="177"/>
      <c r="G13" s="178"/>
      <c r="H13" s="112"/>
      <c r="I13" s="179"/>
      <c r="J13" s="179"/>
      <c r="K13" s="180"/>
      <c r="L13" s="182" t="n">
        <v>104.9</v>
      </c>
      <c r="M13" s="183" t="n">
        <v>4.7</v>
      </c>
      <c r="N13" s="170" t="n">
        <v>600</v>
      </c>
      <c r="O13" s="184" t="n">
        <v>1.8</v>
      </c>
      <c r="P13" s="184"/>
      <c r="Q13" s="83"/>
      <c r="R13" s="182" t="n">
        <v>100.5</v>
      </c>
      <c r="S13" s="183" t="n">
        <v>6.9</v>
      </c>
      <c r="T13" s="170" t="n">
        <v>900</v>
      </c>
      <c r="U13" s="76" t="n">
        <v>2.5</v>
      </c>
      <c r="V13" s="184"/>
      <c r="W13" s="83"/>
      <c r="X13" s="177"/>
      <c r="Y13" s="178"/>
      <c r="Z13" s="112"/>
      <c r="AA13" s="179"/>
      <c r="AB13" s="179"/>
      <c r="AC13" s="180"/>
      <c r="AD13" s="182" t="n">
        <v>96.3</v>
      </c>
      <c r="AE13" s="183" t="n">
        <v>9</v>
      </c>
      <c r="AF13" s="170" t="n">
        <v>1200</v>
      </c>
      <c r="AG13" s="184" t="n">
        <v>3.3</v>
      </c>
      <c r="AH13" s="184"/>
      <c r="AI13" s="83"/>
      <c r="AJ13" s="182" t="n">
        <v>92.3</v>
      </c>
      <c r="AK13" s="183" t="n">
        <v>11</v>
      </c>
      <c r="AL13" s="170" t="n">
        <v>1500</v>
      </c>
      <c r="AM13" s="76" t="n">
        <v>4</v>
      </c>
      <c r="AN13" s="184"/>
      <c r="AO13" s="83"/>
      <c r="AP13" s="182"/>
      <c r="AQ13" s="183"/>
      <c r="AR13" s="170"/>
      <c r="AS13" s="184"/>
      <c r="AT13" s="184"/>
      <c r="AU13" s="83"/>
      <c r="AV13" s="182" t="n">
        <v>101.6</v>
      </c>
      <c r="AW13" s="136" t="n">
        <v>2.03</v>
      </c>
      <c r="AX13" s="170" t="n">
        <v>1520</v>
      </c>
      <c r="AY13" s="184"/>
      <c r="AZ13" s="184"/>
      <c r="BA13" s="83"/>
      <c r="BB13" s="182"/>
      <c r="BC13" s="183"/>
      <c r="BD13" s="170"/>
      <c r="BE13" s="184"/>
      <c r="BF13" s="184"/>
      <c r="BG13" s="83"/>
      <c r="BH13" s="182"/>
      <c r="BI13" s="183"/>
      <c r="BJ13" s="170"/>
      <c r="BK13" s="184"/>
      <c r="BL13" s="184"/>
      <c r="BM13" s="83"/>
      <c r="BN13" s="182"/>
      <c r="BO13" s="183"/>
      <c r="BP13" s="170"/>
      <c r="BQ13" s="184"/>
      <c r="BR13" s="184"/>
      <c r="BS13" s="83"/>
    </row>
    <row r="14" customFormat="false" ht="13.5" hidden="false" customHeight="true" outlineLevel="0" collapsed="false">
      <c r="A14" s="166" t="s">
        <v>60</v>
      </c>
      <c r="B14" s="185"/>
      <c r="C14" s="186"/>
      <c r="D14" s="164" t="s">
        <v>11</v>
      </c>
      <c r="E14" s="176" t="n">
        <v>125</v>
      </c>
      <c r="F14" s="177"/>
      <c r="G14" s="178"/>
      <c r="H14" s="112"/>
      <c r="I14" s="179"/>
      <c r="J14" s="179"/>
      <c r="K14" s="180"/>
      <c r="L14" s="177"/>
      <c r="M14" s="178"/>
      <c r="N14" s="112"/>
      <c r="O14" s="179"/>
      <c r="P14" s="179"/>
      <c r="Q14" s="180"/>
      <c r="R14" s="177"/>
      <c r="S14" s="178"/>
      <c r="T14" s="112" t="n">
        <v>900</v>
      </c>
      <c r="U14" s="181"/>
      <c r="V14" s="179"/>
      <c r="W14" s="180"/>
      <c r="X14" s="177"/>
      <c r="Y14" s="178"/>
      <c r="Z14" s="112"/>
      <c r="AA14" s="179"/>
      <c r="AB14" s="179"/>
      <c r="AC14" s="180"/>
      <c r="AD14" s="177"/>
      <c r="AE14" s="178"/>
      <c r="AF14" s="112"/>
      <c r="AG14" s="179"/>
      <c r="AH14" s="179"/>
      <c r="AI14" s="180"/>
      <c r="AJ14" s="177"/>
      <c r="AK14" s="178"/>
      <c r="AL14" s="112"/>
      <c r="AM14" s="181"/>
      <c r="AN14" s="179"/>
      <c r="AO14" s="180"/>
      <c r="AP14" s="182"/>
      <c r="AQ14" s="183"/>
      <c r="AR14" s="170"/>
      <c r="AS14" s="184"/>
      <c r="AT14" s="184"/>
      <c r="AU14" s="83"/>
      <c r="AV14" s="182" t="n">
        <v>127</v>
      </c>
      <c r="AW14" s="136" t="n">
        <v>2.03</v>
      </c>
      <c r="AX14" s="170" t="n">
        <v>1210</v>
      </c>
      <c r="AY14" s="184"/>
      <c r="AZ14" s="184"/>
      <c r="BA14" s="83"/>
      <c r="BB14" s="182"/>
      <c r="BC14" s="183"/>
      <c r="BD14" s="170"/>
      <c r="BE14" s="184"/>
      <c r="BF14" s="184"/>
      <c r="BG14" s="83"/>
      <c r="BH14" s="182"/>
      <c r="BI14" s="183"/>
      <c r="BJ14" s="170"/>
      <c r="BK14" s="184"/>
      <c r="BL14" s="184"/>
      <c r="BM14" s="83"/>
      <c r="BN14" s="182"/>
      <c r="BO14" s="183"/>
      <c r="BP14" s="170"/>
      <c r="BQ14" s="184"/>
      <c r="BR14" s="184"/>
      <c r="BS14" s="83"/>
    </row>
    <row r="15" customFormat="false" ht="12.75" hidden="false" customHeight="true" outlineLevel="0" collapsed="false">
      <c r="A15" s="166" t="s">
        <v>193</v>
      </c>
      <c r="D15" s="164" t="s">
        <v>194</v>
      </c>
      <c r="E15" s="176" t="n">
        <v>150</v>
      </c>
      <c r="F15" s="177"/>
      <c r="G15" s="178"/>
      <c r="H15" s="112"/>
      <c r="I15" s="179"/>
      <c r="J15" s="179"/>
      <c r="K15" s="180"/>
      <c r="L15" s="182" t="n">
        <v>154.5</v>
      </c>
      <c r="M15" s="183" t="n">
        <v>6.9</v>
      </c>
      <c r="N15" s="170" t="n">
        <v>600</v>
      </c>
      <c r="O15" s="184" t="n">
        <v>3.8</v>
      </c>
      <c r="P15" s="184"/>
      <c r="Q15" s="83"/>
      <c r="R15" s="182" t="n">
        <v>148.1</v>
      </c>
      <c r="S15" s="183" t="n">
        <v>10.1</v>
      </c>
      <c r="T15" s="170" t="n">
        <v>900</v>
      </c>
      <c r="U15" s="76" t="n">
        <v>5.4</v>
      </c>
      <c r="V15" s="184"/>
      <c r="W15" s="83"/>
      <c r="X15" s="177"/>
      <c r="Y15" s="178"/>
      <c r="Z15" s="112"/>
      <c r="AA15" s="179"/>
      <c r="AB15" s="179"/>
      <c r="AC15" s="180"/>
      <c r="AD15" s="182" t="n">
        <v>141.9</v>
      </c>
      <c r="AE15" s="183" t="n">
        <v>13.2</v>
      </c>
      <c r="AF15" s="170" t="n">
        <v>1200</v>
      </c>
      <c r="AG15" s="184" t="n">
        <v>7</v>
      </c>
      <c r="AH15" s="184"/>
      <c r="AI15" s="83"/>
      <c r="AJ15" s="182" t="n">
        <v>135.9</v>
      </c>
      <c r="AK15" s="183" t="n">
        <v>16.2</v>
      </c>
      <c r="AL15" s="170" t="n">
        <v>1500</v>
      </c>
      <c r="AM15" s="76" t="n">
        <v>8.4</v>
      </c>
      <c r="AN15" s="184"/>
      <c r="AO15" s="83"/>
      <c r="AP15" s="182"/>
      <c r="AQ15" s="183"/>
      <c r="AR15" s="170"/>
      <c r="AS15" s="184"/>
      <c r="AT15" s="184"/>
      <c r="AU15" s="83"/>
      <c r="AV15" s="182" t="n">
        <v>152.4</v>
      </c>
      <c r="AW15" s="136" t="n">
        <v>2.64</v>
      </c>
      <c r="AX15" s="170" t="n">
        <v>1310</v>
      </c>
      <c r="AY15" s="184"/>
      <c r="AZ15" s="184"/>
      <c r="BA15" s="83"/>
      <c r="BB15" s="182"/>
      <c r="BC15" s="183"/>
      <c r="BD15" s="170"/>
      <c r="BE15" s="184"/>
      <c r="BF15" s="184"/>
      <c r="BG15" s="83"/>
      <c r="BH15" s="182"/>
      <c r="BI15" s="183"/>
      <c r="BJ15" s="170"/>
      <c r="BK15" s="184"/>
      <c r="BL15" s="184"/>
      <c r="BM15" s="83"/>
      <c r="BN15" s="182"/>
      <c r="BO15" s="183"/>
      <c r="BP15" s="170"/>
      <c r="BQ15" s="184"/>
      <c r="BR15" s="184"/>
      <c r="BS15" s="83"/>
    </row>
    <row r="16" customFormat="false" ht="12.75" hidden="false" customHeight="true" outlineLevel="0" collapsed="false">
      <c r="A16" s="166"/>
      <c r="D16" s="164" t="s">
        <v>195</v>
      </c>
      <c r="E16" s="176" t="n">
        <v>200</v>
      </c>
      <c r="F16" s="182" t="n">
        <v>205.5</v>
      </c>
      <c r="G16" s="183" t="n">
        <v>6.8</v>
      </c>
      <c r="H16" s="170" t="n">
        <v>450</v>
      </c>
      <c r="I16" s="184" t="n">
        <v>4.9</v>
      </c>
      <c r="J16" s="169"/>
      <c r="K16" s="171"/>
      <c r="L16" s="182" t="n">
        <v>201.2</v>
      </c>
      <c r="M16" s="183" t="n">
        <v>9</v>
      </c>
      <c r="N16" s="170" t="n">
        <v>600</v>
      </c>
      <c r="O16" s="184" t="n">
        <v>6.4</v>
      </c>
      <c r="P16" s="169"/>
      <c r="Q16" s="171"/>
      <c r="R16" s="182" t="n">
        <v>192.9</v>
      </c>
      <c r="S16" s="183" t="n">
        <v>13.1</v>
      </c>
      <c r="T16" s="170" t="n">
        <v>900</v>
      </c>
      <c r="U16" s="76" t="n">
        <v>9.2</v>
      </c>
      <c r="V16" s="169"/>
      <c r="W16" s="171"/>
      <c r="X16" s="177"/>
      <c r="Y16" s="178"/>
      <c r="Z16" s="112"/>
      <c r="AA16" s="179"/>
      <c r="AB16" s="187"/>
      <c r="AC16" s="188"/>
      <c r="AD16" s="182" t="n">
        <v>184.8</v>
      </c>
      <c r="AE16" s="183" t="n">
        <v>17.2</v>
      </c>
      <c r="AF16" s="170" t="n">
        <v>1200</v>
      </c>
      <c r="AG16" s="184" t="n">
        <v>11.8</v>
      </c>
      <c r="AH16" s="169"/>
      <c r="AI16" s="171"/>
      <c r="AJ16" s="182" t="n">
        <v>177.1</v>
      </c>
      <c r="AK16" s="183" t="n">
        <v>21</v>
      </c>
      <c r="AL16" s="170" t="n">
        <v>1500</v>
      </c>
      <c r="AM16" s="76" t="n">
        <v>14.2</v>
      </c>
      <c r="AN16" s="169"/>
      <c r="AO16" s="171"/>
      <c r="AP16" s="182"/>
      <c r="AQ16" s="183"/>
      <c r="AR16" s="170"/>
      <c r="AS16" s="184"/>
      <c r="AT16" s="169"/>
      <c r="AU16" s="171"/>
      <c r="AV16" s="182" t="n">
        <v>203.2</v>
      </c>
      <c r="AW16" s="136" t="n">
        <v>2.64</v>
      </c>
      <c r="AX16" s="170" t="n">
        <v>920</v>
      </c>
      <c r="AY16" s="184"/>
      <c r="AZ16" s="169"/>
      <c r="BA16" s="171"/>
      <c r="BB16" s="182"/>
      <c r="BC16" s="183"/>
      <c r="BD16" s="170"/>
      <c r="BE16" s="184"/>
      <c r="BF16" s="169"/>
      <c r="BG16" s="171"/>
      <c r="BH16" s="182"/>
      <c r="BI16" s="183"/>
      <c r="BJ16" s="170"/>
      <c r="BK16" s="184"/>
      <c r="BL16" s="169"/>
      <c r="BM16" s="171"/>
      <c r="BN16" s="182"/>
      <c r="BO16" s="183"/>
      <c r="BP16" s="170"/>
      <c r="BQ16" s="184"/>
      <c r="BR16" s="169"/>
      <c r="BS16" s="171"/>
    </row>
    <row r="17" customFormat="false" ht="12.75" hidden="false" customHeight="true" outlineLevel="0" collapsed="false">
      <c r="A17" s="166"/>
      <c r="D17" s="164" t="s">
        <v>196</v>
      </c>
      <c r="E17" s="176" t="n">
        <v>250</v>
      </c>
      <c r="F17" s="182" t="n">
        <v>238</v>
      </c>
      <c r="G17" s="183" t="n">
        <v>6</v>
      </c>
      <c r="H17" s="170" t="n">
        <v>450</v>
      </c>
      <c r="I17" s="184" t="n">
        <v>5</v>
      </c>
      <c r="J17" s="169"/>
      <c r="K17" s="171"/>
      <c r="L17" s="182" t="n">
        <v>234</v>
      </c>
      <c r="M17" s="183" t="n">
        <v>7.9</v>
      </c>
      <c r="N17" s="170" t="n">
        <v>600</v>
      </c>
      <c r="O17" s="184" t="n">
        <v>6.6</v>
      </c>
      <c r="P17" s="169"/>
      <c r="Q17" s="171"/>
      <c r="R17" s="177"/>
      <c r="S17" s="178"/>
      <c r="T17" s="112"/>
      <c r="U17" s="181"/>
      <c r="V17" s="187"/>
      <c r="W17" s="188"/>
      <c r="X17" s="182" t="n">
        <v>224</v>
      </c>
      <c r="Y17" s="183" t="n">
        <v>12.7</v>
      </c>
      <c r="Z17" s="170" t="n">
        <v>1000</v>
      </c>
      <c r="AA17" s="184" t="n">
        <v>10.3</v>
      </c>
      <c r="AB17" s="169"/>
      <c r="AC17" s="171"/>
      <c r="AD17" s="182" t="n">
        <v>220</v>
      </c>
      <c r="AE17" s="183" t="n">
        <v>15</v>
      </c>
      <c r="AF17" s="170" t="n">
        <v>1200</v>
      </c>
      <c r="AG17" s="184" t="n">
        <v>12.1</v>
      </c>
      <c r="AH17" s="169"/>
      <c r="AI17" s="171"/>
      <c r="AJ17" s="182" t="n">
        <v>213</v>
      </c>
      <c r="AK17" s="183" t="n">
        <v>18.5</v>
      </c>
      <c r="AL17" s="170" t="n">
        <v>1500</v>
      </c>
      <c r="AM17" s="76" t="n">
        <v>14.6</v>
      </c>
      <c r="AN17" s="169"/>
      <c r="AO17" s="171"/>
      <c r="AP17" s="182"/>
      <c r="AQ17" s="183"/>
      <c r="AR17" s="170"/>
      <c r="AS17" s="184"/>
      <c r="AT17" s="169"/>
      <c r="AU17" s="171"/>
      <c r="AV17" s="182"/>
      <c r="AW17" s="136"/>
      <c r="AX17" s="170"/>
      <c r="AY17" s="184"/>
      <c r="AZ17" s="169"/>
      <c r="BA17" s="171"/>
      <c r="BB17" s="182"/>
      <c r="BC17" s="183"/>
      <c r="BD17" s="170"/>
      <c r="BE17" s="184"/>
      <c r="BF17" s="169"/>
      <c r="BG17" s="171"/>
      <c r="BH17" s="182"/>
      <c r="BI17" s="183"/>
      <c r="BJ17" s="170"/>
      <c r="BK17" s="184"/>
      <c r="BL17" s="169"/>
      <c r="BM17" s="171"/>
      <c r="BN17" s="182"/>
      <c r="BO17" s="183"/>
      <c r="BP17" s="170"/>
      <c r="BQ17" s="184"/>
      <c r="BR17" s="169"/>
      <c r="BS17" s="171"/>
    </row>
    <row r="18" customFormat="false" ht="12.75" hidden="false" customHeight="true" outlineLevel="0" collapsed="false">
      <c r="A18" s="166"/>
      <c r="D18" s="98"/>
      <c r="E18" s="176" t="n">
        <v>300</v>
      </c>
      <c r="F18" s="182" t="n">
        <v>300</v>
      </c>
      <c r="G18" s="183" t="n">
        <v>7.5</v>
      </c>
      <c r="H18" s="170" t="n">
        <v>450</v>
      </c>
      <c r="I18" s="184" t="n">
        <v>7.8</v>
      </c>
      <c r="J18" s="169"/>
      <c r="K18" s="171"/>
      <c r="L18" s="182" t="n">
        <v>295</v>
      </c>
      <c r="M18" s="183" t="n">
        <v>9.8</v>
      </c>
      <c r="N18" s="170" t="n">
        <v>600</v>
      </c>
      <c r="O18" s="184" t="n">
        <v>10.2</v>
      </c>
      <c r="P18" s="169"/>
      <c r="Q18" s="171"/>
      <c r="R18" s="177"/>
      <c r="S18" s="178"/>
      <c r="T18" s="112"/>
      <c r="U18" s="181"/>
      <c r="V18" s="187"/>
      <c r="W18" s="188"/>
      <c r="X18" s="182" t="n">
        <v>283</v>
      </c>
      <c r="Y18" s="183" t="n">
        <v>16</v>
      </c>
      <c r="Z18" s="170" t="n">
        <v>1000</v>
      </c>
      <c r="AA18" s="184" t="n">
        <v>16.3</v>
      </c>
      <c r="AB18" s="169"/>
      <c r="AC18" s="171"/>
      <c r="AD18" s="182" t="n">
        <v>277</v>
      </c>
      <c r="AE18" s="183" t="n">
        <v>18.9</v>
      </c>
      <c r="AF18" s="170" t="n">
        <v>1200</v>
      </c>
      <c r="AG18" s="184" t="n">
        <v>19.1</v>
      </c>
      <c r="AH18" s="169"/>
      <c r="AI18" s="171"/>
      <c r="AJ18" s="182" t="n">
        <v>268</v>
      </c>
      <c r="AK18" s="183" t="n">
        <v>23.3</v>
      </c>
      <c r="AL18" s="170" t="n">
        <v>1500</v>
      </c>
      <c r="AM18" s="76" t="n">
        <v>23.2</v>
      </c>
      <c r="AN18" s="169"/>
      <c r="AO18" s="171"/>
      <c r="AP18" s="182"/>
      <c r="AQ18" s="183"/>
      <c r="AR18" s="170"/>
      <c r="AS18" s="184"/>
      <c r="AT18" s="169"/>
      <c r="AU18" s="171"/>
      <c r="AV18" s="182"/>
      <c r="AW18" s="136"/>
      <c r="AX18" s="170"/>
      <c r="AY18" s="184"/>
      <c r="AZ18" s="169"/>
      <c r="BA18" s="171"/>
      <c r="BB18" s="182"/>
      <c r="BC18" s="183"/>
      <c r="BD18" s="170"/>
      <c r="BE18" s="184"/>
      <c r="BF18" s="169"/>
      <c r="BG18" s="171"/>
      <c r="BH18" s="182"/>
      <c r="BI18" s="183"/>
      <c r="BJ18" s="170"/>
      <c r="BK18" s="184"/>
      <c r="BL18" s="169"/>
      <c r="BM18" s="171"/>
      <c r="BN18" s="182"/>
      <c r="BO18" s="183"/>
      <c r="BP18" s="170"/>
      <c r="BQ18" s="184"/>
      <c r="BR18" s="169"/>
      <c r="BS18" s="171"/>
    </row>
    <row r="19" customFormat="false" ht="13.5" hidden="false" customHeight="true" outlineLevel="0" collapsed="false">
      <c r="A19" s="189"/>
      <c r="D19" s="98"/>
      <c r="E19" s="176" t="n">
        <v>350</v>
      </c>
      <c r="F19" s="182" t="n">
        <v>338</v>
      </c>
      <c r="G19" s="183" t="n">
        <v>8.4</v>
      </c>
      <c r="H19" s="170" t="n">
        <v>450</v>
      </c>
      <c r="I19" s="184" t="n">
        <v>9.9</v>
      </c>
      <c r="J19" s="169"/>
      <c r="K19" s="171"/>
      <c r="L19" s="182" t="n">
        <v>333</v>
      </c>
      <c r="M19" s="183" t="n">
        <v>11.1</v>
      </c>
      <c r="N19" s="170" t="n">
        <v>600</v>
      </c>
      <c r="O19" s="184" t="n">
        <v>13</v>
      </c>
      <c r="P19" s="169"/>
      <c r="Q19" s="171"/>
      <c r="R19" s="177"/>
      <c r="S19" s="178"/>
      <c r="T19" s="112"/>
      <c r="U19" s="181"/>
      <c r="V19" s="187"/>
      <c r="W19" s="188"/>
      <c r="X19" s="182" t="n">
        <v>319</v>
      </c>
      <c r="Y19" s="183" t="n">
        <v>18</v>
      </c>
      <c r="Z19" s="170" t="n">
        <v>1000</v>
      </c>
      <c r="AA19" s="184" t="n">
        <v>20.6</v>
      </c>
      <c r="AB19" s="169"/>
      <c r="AC19" s="171"/>
      <c r="AD19" s="182" t="n">
        <v>312</v>
      </c>
      <c r="AE19" s="183" t="n">
        <v>21.3</v>
      </c>
      <c r="AF19" s="170" t="n">
        <v>1200</v>
      </c>
      <c r="AG19" s="184" t="n">
        <v>24.2</v>
      </c>
      <c r="AH19" s="169"/>
      <c r="AI19" s="171"/>
      <c r="AJ19" s="182" t="n">
        <v>302</v>
      </c>
      <c r="AK19" s="183" t="n">
        <v>26.2</v>
      </c>
      <c r="AL19" s="170" t="n">
        <v>1500</v>
      </c>
      <c r="AM19" s="76" t="n">
        <v>29.4</v>
      </c>
      <c r="AN19" s="169"/>
      <c r="AO19" s="171"/>
      <c r="AP19" s="182"/>
      <c r="AQ19" s="183"/>
      <c r="AR19" s="170"/>
      <c r="AS19" s="184"/>
      <c r="AT19" s="169"/>
      <c r="AU19" s="171"/>
      <c r="AV19" s="182"/>
      <c r="AW19" s="136"/>
      <c r="AX19" s="170"/>
      <c r="AY19" s="184"/>
      <c r="AZ19" s="169"/>
      <c r="BA19" s="171"/>
      <c r="BB19" s="182"/>
      <c r="BC19" s="183"/>
      <c r="BD19" s="170"/>
      <c r="BE19" s="184"/>
      <c r="BF19" s="169"/>
      <c r="BG19" s="171"/>
      <c r="BH19" s="182"/>
      <c r="BI19" s="183"/>
      <c r="BJ19" s="170"/>
      <c r="BK19" s="184"/>
      <c r="BL19" s="169"/>
      <c r="BM19" s="171"/>
      <c r="BN19" s="182"/>
      <c r="BO19" s="183"/>
      <c r="BP19" s="170"/>
      <c r="BQ19" s="184"/>
      <c r="BR19" s="169"/>
      <c r="BS19" s="171"/>
    </row>
    <row r="20" customFormat="false" ht="12.75" hidden="false" customHeight="true" outlineLevel="0" collapsed="false">
      <c r="D20" s="98"/>
      <c r="E20" s="176" t="n">
        <v>400</v>
      </c>
      <c r="F20" s="182" t="n">
        <v>381</v>
      </c>
      <c r="G20" s="183" t="n">
        <v>9.4</v>
      </c>
      <c r="H20" s="170" t="n">
        <v>450</v>
      </c>
      <c r="I20" s="184" t="n">
        <v>12.6</v>
      </c>
      <c r="J20" s="169"/>
      <c r="K20" s="171"/>
      <c r="L20" s="182" t="n">
        <v>375</v>
      </c>
      <c r="M20" s="183" t="n">
        <v>12.4</v>
      </c>
      <c r="N20" s="170" t="n">
        <v>600</v>
      </c>
      <c r="O20" s="184" t="n">
        <v>16.4</v>
      </c>
      <c r="P20" s="169"/>
      <c r="Q20" s="171"/>
      <c r="R20" s="177"/>
      <c r="S20" s="178"/>
      <c r="T20" s="112"/>
      <c r="U20" s="181"/>
      <c r="V20" s="187"/>
      <c r="W20" s="188"/>
      <c r="X20" s="182" t="n">
        <v>360</v>
      </c>
      <c r="Y20" s="183" t="n">
        <v>20.2</v>
      </c>
      <c r="Z20" s="170" t="n">
        <v>1000</v>
      </c>
      <c r="AA20" s="184" t="n">
        <v>26.1</v>
      </c>
      <c r="AB20" s="169"/>
      <c r="AC20" s="171"/>
      <c r="AD20" s="182" t="n">
        <v>352</v>
      </c>
      <c r="AE20" s="183" t="n">
        <v>23.9</v>
      </c>
      <c r="AF20" s="170" t="n">
        <v>1200</v>
      </c>
      <c r="AG20" s="184" t="n">
        <v>30.7</v>
      </c>
      <c r="AH20" s="169"/>
      <c r="AI20" s="171"/>
      <c r="AJ20" s="182" t="n">
        <v>341</v>
      </c>
      <c r="AK20" s="183" t="n">
        <v>29.5</v>
      </c>
      <c r="AL20" s="170" t="n">
        <v>1500</v>
      </c>
      <c r="AM20" s="76" t="n">
        <v>37.2</v>
      </c>
      <c r="AN20" s="169"/>
      <c r="AO20" s="171"/>
      <c r="AP20" s="182"/>
      <c r="AQ20" s="183"/>
      <c r="AR20" s="170"/>
      <c r="AS20" s="184"/>
      <c r="AT20" s="169"/>
      <c r="AU20" s="171"/>
      <c r="AV20" s="182"/>
      <c r="AW20" s="136"/>
      <c r="AX20" s="170"/>
      <c r="AY20" s="184"/>
      <c r="AZ20" s="169"/>
      <c r="BA20" s="171"/>
      <c r="BB20" s="182"/>
      <c r="BC20" s="183"/>
      <c r="BD20" s="170"/>
      <c r="BE20" s="184"/>
      <c r="BF20" s="169"/>
      <c r="BG20" s="171"/>
      <c r="BH20" s="182"/>
      <c r="BI20" s="183"/>
      <c r="BJ20" s="170"/>
      <c r="BK20" s="184"/>
      <c r="BL20" s="169"/>
      <c r="BM20" s="171"/>
      <c r="BN20" s="182"/>
      <c r="BO20" s="183"/>
      <c r="BP20" s="170"/>
      <c r="BQ20" s="184"/>
      <c r="BR20" s="169"/>
      <c r="BS20" s="171"/>
    </row>
    <row r="21" customFormat="false" ht="12.75" hidden="false" customHeight="true" outlineLevel="0" collapsed="false">
      <c r="D21" s="98"/>
      <c r="E21" s="176" t="n">
        <v>450</v>
      </c>
      <c r="F21" s="182" t="n">
        <v>429</v>
      </c>
      <c r="G21" s="183" t="n">
        <v>10.6</v>
      </c>
      <c r="H21" s="170" t="n">
        <v>450</v>
      </c>
      <c r="I21" s="184" t="n">
        <v>15.9</v>
      </c>
      <c r="J21" s="169"/>
      <c r="K21" s="171"/>
      <c r="L21" s="182" t="n">
        <v>422</v>
      </c>
      <c r="M21" s="183" t="n">
        <v>14</v>
      </c>
      <c r="N21" s="170" t="n">
        <v>600</v>
      </c>
      <c r="O21" s="184" t="n">
        <v>20.8</v>
      </c>
      <c r="P21" s="169"/>
      <c r="Q21" s="171"/>
      <c r="R21" s="177"/>
      <c r="S21" s="178"/>
      <c r="T21" s="112"/>
      <c r="U21" s="181"/>
      <c r="V21" s="187"/>
      <c r="W21" s="188"/>
      <c r="X21" s="182" t="n">
        <v>405</v>
      </c>
      <c r="Y21" s="183" t="n">
        <v>22.7</v>
      </c>
      <c r="Z21" s="170" t="n">
        <v>1000</v>
      </c>
      <c r="AA21" s="184" t="n">
        <v>33</v>
      </c>
      <c r="AB21" s="169"/>
      <c r="AC21" s="171"/>
      <c r="AD21" s="182" t="n">
        <v>396</v>
      </c>
      <c r="AE21" s="183" t="n">
        <v>27</v>
      </c>
      <c r="AF21" s="170" t="n">
        <v>1200</v>
      </c>
      <c r="AG21" s="184" t="n">
        <v>38.9</v>
      </c>
      <c r="AH21" s="169"/>
      <c r="AI21" s="171"/>
      <c r="AJ21" s="182" t="n">
        <v>384</v>
      </c>
      <c r="AK21" s="183" t="n">
        <v>33.2</v>
      </c>
      <c r="AL21" s="170" t="n">
        <v>1500</v>
      </c>
      <c r="AM21" s="76" t="n">
        <v>47.1</v>
      </c>
      <c r="AN21" s="169"/>
      <c r="AO21" s="171"/>
      <c r="AP21" s="182"/>
      <c r="AQ21" s="183"/>
      <c r="AR21" s="170"/>
      <c r="AS21" s="184"/>
      <c r="AT21" s="169"/>
      <c r="AU21" s="171"/>
      <c r="AV21" s="182"/>
      <c r="AW21" s="136"/>
      <c r="AX21" s="170"/>
      <c r="AY21" s="184"/>
      <c r="AZ21" s="169"/>
      <c r="BA21" s="171"/>
      <c r="BB21" s="182"/>
      <c r="BC21" s="183"/>
      <c r="BD21" s="170"/>
      <c r="BE21" s="184"/>
      <c r="BF21" s="169"/>
      <c r="BG21" s="171"/>
      <c r="BH21" s="182"/>
      <c r="BI21" s="183"/>
      <c r="BJ21" s="170"/>
      <c r="BK21" s="184"/>
      <c r="BL21" s="169"/>
      <c r="BM21" s="171"/>
      <c r="BN21" s="182"/>
      <c r="BO21" s="183"/>
      <c r="BP21" s="170"/>
      <c r="BQ21" s="184"/>
      <c r="BR21" s="169"/>
      <c r="BS21" s="171"/>
    </row>
    <row r="22" customFormat="false" ht="13.5" hidden="false" customHeight="true" outlineLevel="0" collapsed="false">
      <c r="D22" s="123"/>
      <c r="E22" s="176" t="n">
        <v>500</v>
      </c>
      <c r="F22" s="182" t="n">
        <v>476</v>
      </c>
      <c r="G22" s="183" t="n">
        <v>11.8</v>
      </c>
      <c r="H22" s="170" t="n">
        <v>450</v>
      </c>
      <c r="I22" s="184" t="n">
        <v>19.6</v>
      </c>
      <c r="J22" s="169"/>
      <c r="K22" s="171"/>
      <c r="L22" s="182" t="n">
        <v>469</v>
      </c>
      <c r="M22" s="183" t="n">
        <v>15.5</v>
      </c>
      <c r="N22" s="170" t="n">
        <v>600</v>
      </c>
      <c r="O22" s="184" t="n">
        <v>25.5</v>
      </c>
      <c r="P22" s="169"/>
      <c r="Q22" s="171"/>
      <c r="R22" s="177"/>
      <c r="S22" s="178"/>
      <c r="T22" s="112"/>
      <c r="U22" s="181"/>
      <c r="V22" s="187"/>
      <c r="W22" s="188"/>
      <c r="X22" s="182" t="n">
        <v>450</v>
      </c>
      <c r="Y22" s="183" t="n">
        <v>25.2</v>
      </c>
      <c r="Z22" s="170" t="n">
        <v>1000</v>
      </c>
      <c r="AA22" s="184" t="n">
        <v>40.7</v>
      </c>
      <c r="AB22" s="169"/>
      <c r="AC22" s="171"/>
      <c r="AD22" s="177"/>
      <c r="AE22" s="178"/>
      <c r="AF22" s="112"/>
      <c r="AG22" s="179"/>
      <c r="AH22" s="187"/>
      <c r="AI22" s="188"/>
      <c r="AJ22" s="177"/>
      <c r="AK22" s="178"/>
      <c r="AL22" s="112"/>
      <c r="AM22" s="181"/>
      <c r="AN22" s="187"/>
      <c r="AO22" s="188"/>
      <c r="AP22" s="182"/>
      <c r="AQ22" s="183"/>
      <c r="AR22" s="170"/>
      <c r="AS22" s="184"/>
      <c r="AT22" s="169"/>
      <c r="AU22" s="171"/>
      <c r="AV22" s="182"/>
      <c r="AW22" s="136"/>
      <c r="AX22" s="170"/>
      <c r="AY22" s="184"/>
      <c r="AZ22" s="169"/>
      <c r="BA22" s="171"/>
      <c r="BB22" s="182"/>
      <c r="BC22" s="183"/>
      <c r="BD22" s="170"/>
      <c r="BE22" s="184"/>
      <c r="BF22" s="169"/>
      <c r="BG22" s="171"/>
      <c r="BH22" s="182"/>
      <c r="BI22" s="183"/>
      <c r="BJ22" s="170"/>
      <c r="BK22" s="184"/>
      <c r="BL22" s="169"/>
      <c r="BM22" s="171"/>
      <c r="BN22" s="182"/>
      <c r="BO22" s="183"/>
      <c r="BP22" s="170"/>
      <c r="BQ22" s="184"/>
      <c r="BR22" s="169"/>
      <c r="BS22" s="171"/>
    </row>
    <row r="23" customFormat="false" ht="12.75" hidden="false" customHeight="true" outlineLevel="0" collapsed="false">
      <c r="D23" s="168"/>
      <c r="E23" s="176" t="n">
        <v>550</v>
      </c>
      <c r="F23" s="182" t="n">
        <v>534</v>
      </c>
      <c r="G23" s="183" t="n">
        <v>13.1</v>
      </c>
      <c r="H23" s="170" t="n">
        <v>450</v>
      </c>
      <c r="I23" s="184" t="n">
        <v>24.5</v>
      </c>
      <c r="J23" s="169"/>
      <c r="K23" s="171"/>
      <c r="L23" s="182" t="n">
        <v>525</v>
      </c>
      <c r="M23" s="183" t="n">
        <v>17.4</v>
      </c>
      <c r="N23" s="170" t="n">
        <v>600</v>
      </c>
      <c r="O23" s="184" t="n">
        <v>32.1</v>
      </c>
      <c r="P23" s="169"/>
      <c r="Q23" s="171"/>
      <c r="R23" s="177"/>
      <c r="S23" s="178"/>
      <c r="T23" s="112"/>
      <c r="U23" s="181"/>
      <c r="V23" s="187"/>
      <c r="W23" s="188"/>
      <c r="X23" s="177"/>
      <c r="Y23" s="178"/>
      <c r="Z23" s="112"/>
      <c r="AA23" s="179"/>
      <c r="AB23" s="187"/>
      <c r="AC23" s="188"/>
      <c r="AD23" s="177"/>
      <c r="AE23" s="178"/>
      <c r="AF23" s="112"/>
      <c r="AG23" s="179"/>
      <c r="AH23" s="187"/>
      <c r="AI23" s="188"/>
      <c r="AJ23" s="177"/>
      <c r="AK23" s="178"/>
      <c r="AL23" s="112"/>
      <c r="AM23" s="181"/>
      <c r="AN23" s="187"/>
      <c r="AO23" s="188"/>
      <c r="AP23" s="182"/>
      <c r="AQ23" s="183"/>
      <c r="AR23" s="170"/>
      <c r="AS23" s="184"/>
      <c r="AT23" s="169"/>
      <c r="AU23" s="171"/>
      <c r="AV23" s="182"/>
      <c r="AW23" s="136"/>
      <c r="AX23" s="170"/>
      <c r="AY23" s="184"/>
      <c r="AZ23" s="169"/>
      <c r="BA23" s="171"/>
      <c r="BB23" s="182"/>
      <c r="BC23" s="183"/>
      <c r="BD23" s="170"/>
      <c r="BE23" s="184"/>
      <c r="BF23" s="169"/>
      <c r="BG23" s="171"/>
      <c r="BH23" s="182"/>
      <c r="BI23" s="183"/>
      <c r="BJ23" s="170"/>
      <c r="BK23" s="184"/>
      <c r="BL23" s="169"/>
      <c r="BM23" s="171"/>
      <c r="BN23" s="182"/>
      <c r="BO23" s="183"/>
      <c r="BP23" s="170"/>
      <c r="BQ23" s="184"/>
      <c r="BR23" s="169"/>
      <c r="BS23" s="171"/>
    </row>
    <row r="24" customFormat="false" ht="13.5" hidden="false" customHeight="true" outlineLevel="0" collapsed="false">
      <c r="D24" s="168"/>
      <c r="E24" s="190" t="n">
        <v>600</v>
      </c>
      <c r="F24" s="182" t="n">
        <v>601</v>
      </c>
      <c r="G24" s="183" t="n">
        <v>14.7</v>
      </c>
      <c r="H24" s="170" t="n">
        <v>450</v>
      </c>
      <c r="I24" s="184" t="n">
        <v>30.8</v>
      </c>
      <c r="J24" s="169"/>
      <c r="K24" s="171"/>
      <c r="L24" s="182" t="n">
        <v>591</v>
      </c>
      <c r="M24" s="183" t="n">
        <v>19.5</v>
      </c>
      <c r="N24" s="170" t="n">
        <v>600</v>
      </c>
      <c r="O24" s="184" t="n">
        <v>40.4</v>
      </c>
      <c r="P24" s="169"/>
      <c r="Q24" s="171"/>
      <c r="R24" s="177"/>
      <c r="S24" s="178"/>
      <c r="T24" s="112"/>
      <c r="U24" s="181"/>
      <c r="V24" s="187"/>
      <c r="W24" s="188"/>
      <c r="X24" s="177"/>
      <c r="Y24" s="178"/>
      <c r="Z24" s="112"/>
      <c r="AA24" s="179"/>
      <c r="AB24" s="187"/>
      <c r="AC24" s="188"/>
      <c r="AD24" s="177"/>
      <c r="AE24" s="178"/>
      <c r="AF24" s="112"/>
      <c r="AG24" s="179"/>
      <c r="AH24" s="187"/>
      <c r="AI24" s="188"/>
      <c r="AJ24" s="177"/>
      <c r="AK24" s="178"/>
      <c r="AL24" s="112"/>
      <c r="AM24" s="181"/>
      <c r="AN24" s="187"/>
      <c r="AO24" s="188"/>
      <c r="AP24" s="182"/>
      <c r="AQ24" s="183"/>
      <c r="AR24" s="170"/>
      <c r="AS24" s="184"/>
      <c r="AT24" s="169"/>
      <c r="AU24" s="171"/>
      <c r="AV24" s="182"/>
      <c r="AW24" s="136"/>
      <c r="AX24" s="170"/>
      <c r="AY24" s="184"/>
      <c r="AZ24" s="169"/>
      <c r="BA24" s="171"/>
      <c r="BB24" s="182"/>
      <c r="BC24" s="183"/>
      <c r="BD24" s="170"/>
      <c r="BE24" s="184"/>
      <c r="BF24" s="169"/>
      <c r="BG24" s="171"/>
      <c r="BH24" s="182"/>
      <c r="BI24" s="183"/>
      <c r="BJ24" s="170"/>
      <c r="BK24" s="184"/>
      <c r="BL24" s="169"/>
      <c r="BM24" s="171"/>
      <c r="BN24" s="182"/>
      <c r="BO24" s="183"/>
      <c r="BP24" s="170"/>
      <c r="BQ24" s="184"/>
      <c r="BR24" s="169"/>
      <c r="BS24" s="171"/>
    </row>
    <row r="25" customFormat="false" ht="14.25" hidden="false" customHeight="true" outlineLevel="0" collapsed="false">
      <c r="D25" s="168"/>
      <c r="E25" s="191"/>
      <c r="F25" s="192" t="s">
        <v>197</v>
      </c>
      <c r="G25" s="192"/>
      <c r="H25" s="193"/>
      <c r="I25" s="194"/>
      <c r="J25" s="195"/>
      <c r="K25" s="195"/>
      <c r="L25" s="192" t="s">
        <v>197</v>
      </c>
      <c r="M25" s="192"/>
      <c r="N25" s="193"/>
      <c r="O25" s="194"/>
      <c r="P25" s="195"/>
      <c r="Q25" s="195"/>
      <c r="R25" s="192" t="s">
        <v>197</v>
      </c>
      <c r="S25" s="192"/>
      <c r="T25" s="193"/>
      <c r="U25" s="194"/>
      <c r="V25" s="195"/>
      <c r="W25" s="195"/>
      <c r="X25" s="192" t="s">
        <v>197</v>
      </c>
      <c r="Y25" s="192"/>
      <c r="Z25" s="193"/>
      <c r="AA25" s="194"/>
      <c r="AB25" s="195"/>
      <c r="AC25" s="195"/>
      <c r="AD25" s="192" t="s">
        <v>197</v>
      </c>
      <c r="AE25" s="192"/>
      <c r="AF25" s="193"/>
      <c r="AG25" s="194"/>
      <c r="AH25" s="195"/>
      <c r="AI25" s="195"/>
      <c r="AJ25" s="192" t="s">
        <v>197</v>
      </c>
      <c r="AK25" s="192"/>
      <c r="AL25" s="193"/>
      <c r="AM25" s="194"/>
      <c r="AN25" s="195"/>
      <c r="AO25" s="195"/>
      <c r="AP25" s="192" t="s">
        <v>197</v>
      </c>
      <c r="AQ25" s="192"/>
      <c r="AR25" s="193"/>
      <c r="AS25" s="194"/>
      <c r="AT25" s="195"/>
      <c r="AU25" s="195"/>
      <c r="AV25" s="192" t="s">
        <v>197</v>
      </c>
      <c r="AW25" s="192"/>
      <c r="AX25" s="193"/>
      <c r="AY25" s="194"/>
      <c r="AZ25" s="195"/>
      <c r="BA25" s="195"/>
      <c r="BB25" s="192" t="s">
        <v>197</v>
      </c>
      <c r="BC25" s="192"/>
      <c r="BD25" s="193"/>
      <c r="BE25" s="194"/>
      <c r="BF25" s="195"/>
      <c r="BG25" s="195"/>
      <c r="BH25" s="192" t="s">
        <v>197</v>
      </c>
      <c r="BI25" s="192"/>
      <c r="BJ25" s="193"/>
      <c r="BK25" s="194"/>
      <c r="BL25" s="195"/>
      <c r="BM25" s="195"/>
      <c r="BN25" s="192" t="s">
        <v>197</v>
      </c>
      <c r="BO25" s="192"/>
      <c r="BP25" s="193"/>
      <c r="BQ25" s="194"/>
      <c r="BR25" s="195"/>
      <c r="BS25" s="195"/>
    </row>
    <row r="26" customFormat="false" ht="12.75" hidden="false" customHeight="true" outlineLevel="0" collapsed="false">
      <c r="D26" s="168"/>
    </row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</sheetData>
  <mergeCells count="22">
    <mergeCell ref="F2:K2"/>
    <mergeCell ref="L2:Q2"/>
    <mergeCell ref="R2:W2"/>
    <mergeCell ref="X2:AC2"/>
    <mergeCell ref="AD2:AI2"/>
    <mergeCell ref="AJ2:AO2"/>
    <mergeCell ref="AP2:AU2"/>
    <mergeCell ref="AV2:BA2"/>
    <mergeCell ref="BB2:BG2"/>
    <mergeCell ref="BH2:BM2"/>
    <mergeCell ref="BN2:BS2"/>
    <mergeCell ref="F25:G25"/>
    <mergeCell ref="L25:M25"/>
    <mergeCell ref="R25:S25"/>
    <mergeCell ref="X25:Y25"/>
    <mergeCell ref="AD25:AE25"/>
    <mergeCell ref="AJ25:AK25"/>
    <mergeCell ref="AP25:AQ25"/>
    <mergeCell ref="AV25:AW25"/>
    <mergeCell ref="BB25:BC25"/>
    <mergeCell ref="BH25:BI25"/>
    <mergeCell ref="BN25:BO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1998-02-14T22:16:57Z</dcterms:created>
  <dc:creator>Cameron Robbins</dc:creator>
  <dc:description>VBA code still being modified to suit project. Pipework layout still to be finished around secondary pumps.</dc:description>
  <dc:language>en-US</dc:language>
  <cp:lastModifiedBy>HP i7</cp:lastModifiedBy>
  <cp:lastPrinted>2015-03-29T14:10:10Z</cp:lastPrinted>
  <dcterms:modified xsi:type="dcterms:W3CDTF">2026-09-02T05:27:32Z</dcterms:modified>
  <cp:revision>0</cp:revision>
  <dc:subject>Chilled Water Schematic</dc:subject>
  <dc:title>PA  - Chilled Water Schematic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