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820" activeTab="0"/>
  </bookViews>
  <sheets>
    <sheet name="Main" sheetId="1" r:id="rId1"/>
    <sheet name="Duct" sheetId="2" r:id="rId2"/>
    <sheet name="ASHRAE Table 5" sheetId="3" r:id="rId3"/>
    <sheet name="Notes" sheetId="4" r:id="rId4"/>
  </sheets>
  <definedNames>
    <definedName name="DR">'Main'!$C$11</definedName>
    <definedName name="Elev">'Main'!$J$8</definedName>
    <definedName name="Lat">'Main'!$J$9</definedName>
    <definedName name="Leakage">'Main'!$J$7</definedName>
    <definedName name="SHR">'Main'!$C$12</definedName>
    <definedName name="ti">'Main'!$C$6</definedName>
    <definedName name="tidb">'Main'!$C$9</definedName>
    <definedName name="tiwb">'Main'!$C$10</definedName>
    <definedName name="to">'Main'!$C$5</definedName>
    <definedName name="todb">'Main'!$C$7</definedName>
    <definedName name="towb">'Main'!$C$8</definedName>
  </definedNames>
  <calcPr fullCalcOnLoad="1"/>
</workbook>
</file>

<file path=xl/sharedStrings.xml><?xml version="1.0" encoding="utf-8"?>
<sst xmlns="http://schemas.openxmlformats.org/spreadsheetml/2006/main" count="209" uniqueCount="146">
  <si>
    <t>todb</t>
  </si>
  <si>
    <t>towb</t>
  </si>
  <si>
    <t>tidb</t>
  </si>
  <si>
    <t>ft</t>
  </si>
  <si>
    <t>ºF</t>
  </si>
  <si>
    <t>Lat</t>
  </si>
  <si>
    <t>Elev</t>
  </si>
  <si>
    <t>ºN</t>
  </si>
  <si>
    <t>Windows</t>
  </si>
  <si>
    <t>North</t>
  </si>
  <si>
    <t>NE</t>
  </si>
  <si>
    <t>East</t>
  </si>
  <si>
    <t>SE</t>
  </si>
  <si>
    <t>South</t>
  </si>
  <si>
    <t>SW</t>
  </si>
  <si>
    <t>West</t>
  </si>
  <si>
    <t>NW</t>
  </si>
  <si>
    <t>Horz.</t>
  </si>
  <si>
    <t>Walls</t>
  </si>
  <si>
    <t>U</t>
  </si>
  <si>
    <t>Daily Range</t>
  </si>
  <si>
    <t>DR</t>
  </si>
  <si>
    <t>Doors</t>
  </si>
  <si>
    <t>Roof/Ceiling</t>
  </si>
  <si>
    <t>Roof 1</t>
  </si>
  <si>
    <t>Roof 2</t>
  </si>
  <si>
    <t>Crawl Space</t>
  </si>
  <si>
    <t>(To Unc. Space)</t>
  </si>
  <si>
    <t>(or floor garage)</t>
  </si>
  <si>
    <t>Zone 1</t>
  </si>
  <si>
    <t>Zone 2</t>
  </si>
  <si>
    <t>Area (sf)</t>
  </si>
  <si>
    <t>qh(MBtu/h)</t>
  </si>
  <si>
    <t>qc (MBtu/h)</t>
  </si>
  <si>
    <t>UP</t>
  </si>
  <si>
    <t>Slab</t>
  </si>
  <si>
    <t>R (ins)</t>
  </si>
  <si>
    <t>Perimeter</t>
  </si>
  <si>
    <t>Infiltration</t>
  </si>
  <si>
    <t>Floor Area</t>
  </si>
  <si>
    <t>Aflr</t>
  </si>
  <si>
    <t>sq. ft.</t>
  </si>
  <si>
    <t>Avg. Height</t>
  </si>
  <si>
    <t>ft.</t>
  </si>
  <si>
    <t>CeilHt</t>
  </si>
  <si>
    <t>Leakage</t>
  </si>
  <si>
    <t>Building</t>
  </si>
  <si>
    <t>ACH</t>
  </si>
  <si>
    <t>Vol</t>
  </si>
  <si>
    <t>cfm</t>
  </si>
  <si>
    <t>Tight = 1</t>
  </si>
  <si>
    <t>Medium=2</t>
  </si>
  <si>
    <t>Loose =3</t>
  </si>
  <si>
    <t>Winter Outdoor</t>
  </si>
  <si>
    <t>Temperatures</t>
  </si>
  <si>
    <t>Winter Indoor</t>
  </si>
  <si>
    <t>Sum. Outdoor</t>
  </si>
  <si>
    <t>Sum. Indoor</t>
  </si>
  <si>
    <t>to</t>
  </si>
  <si>
    <t>ti</t>
  </si>
  <si>
    <t>Winter</t>
  </si>
  <si>
    <t>Summer</t>
  </si>
  <si>
    <t>Sens. Heat Ratio</t>
  </si>
  <si>
    <t>SHR</t>
  </si>
  <si>
    <t>Kitchen/Laundry</t>
  </si>
  <si>
    <t>Btu/h</t>
  </si>
  <si>
    <t>Watts</t>
  </si>
  <si>
    <t>Internal (AVG)</t>
  </si>
  <si>
    <t>Other (in watts)</t>
  </si>
  <si>
    <t>Cool Subtotal</t>
  </si>
  <si>
    <t>Heat Subtotal</t>
  </si>
  <si>
    <t>Duct</t>
  </si>
  <si>
    <t>Clg.Fac</t>
  </si>
  <si>
    <t>Htg.Fac</t>
  </si>
  <si>
    <t>Sensible</t>
  </si>
  <si>
    <t>Cool Total</t>
  </si>
  <si>
    <t>Heat Total</t>
  </si>
  <si>
    <t>Net Total</t>
  </si>
  <si>
    <t>Cooling</t>
  </si>
  <si>
    <t>Heating</t>
  </si>
  <si>
    <t>MBtu/h</t>
  </si>
  <si>
    <t>Location =</t>
  </si>
  <si>
    <t>Tuscaloosa</t>
  </si>
  <si>
    <t>Insulation</t>
  </si>
  <si>
    <t>Gains</t>
  </si>
  <si>
    <t xml:space="preserve">Heating </t>
  </si>
  <si>
    <t>Losses</t>
  </si>
  <si>
    <t xml:space="preserve">Duct Location </t>
  </si>
  <si>
    <t>(hr-ft-F/Btu)</t>
  </si>
  <si>
    <t>Supply</t>
  </si>
  <si>
    <t>Return</t>
  </si>
  <si>
    <t>Supply&lt;120 F</t>
  </si>
  <si>
    <t>Supply&gt;120 F</t>
  </si>
  <si>
    <t>Outdoors, open to well vented</t>
  </si>
  <si>
    <t>None</t>
  </si>
  <si>
    <t>space, uninsulated,</t>
  </si>
  <si>
    <t>R2</t>
  </si>
  <si>
    <t>unconditioned space</t>
  </si>
  <si>
    <t>R4</t>
  </si>
  <si>
    <t>R6</t>
  </si>
  <si>
    <t>Ducts located in enclosed,</t>
  </si>
  <si>
    <t>insulated, unconditioned,</t>
  </si>
  <si>
    <t>unvented spaces</t>
  </si>
  <si>
    <t>Ducts located in return air</t>
  </si>
  <si>
    <t>ceiling plenum</t>
  </si>
  <si>
    <t>Ducts buried in or under</t>
  </si>
  <si>
    <t>concrete slab</t>
  </si>
  <si>
    <t>Ducts in conditioned space or</t>
  </si>
  <si>
    <t>stubbed up in space, short run</t>
  </si>
  <si>
    <t>Any</t>
  </si>
  <si>
    <t>Note (1)</t>
  </si>
  <si>
    <t>Note( 2)</t>
  </si>
  <si>
    <t>SC (4)</t>
  </si>
  <si>
    <t>U (4)</t>
  </si>
  <si>
    <t>GLF (5)</t>
  </si>
  <si>
    <t>Notes</t>
  </si>
  <si>
    <t>Weather and climatic information available Table 1A &amp; 1B, Chp. 27, 2001 ASHRAE Fundamental Handbook.</t>
  </si>
  <si>
    <t>Values curve fit from Table 3, Chp. 28, 2001 ASHRAE Fundamental Handbook.</t>
  </si>
  <si>
    <t>CLTD (6)</t>
  </si>
  <si>
    <t>CLTD (7)</t>
  </si>
  <si>
    <t>Values curve fit from Table 1, Chp. 28, 2001 ASHRAE Fundamental Handbook.</t>
  </si>
  <si>
    <t xml:space="preserve"> See Table 16, Chp. 28, 2001 ASHRAE Fundamental Handbook.</t>
  </si>
  <si>
    <t>People</t>
  </si>
  <si>
    <t>Number</t>
  </si>
  <si>
    <t>Btu/h-per</t>
  </si>
  <si>
    <t xml:space="preserve"> Values curve fit fromTables 7 &amp; 8, Chp. 28, 2001 ASHRAE Fundamental Handbook.</t>
  </si>
  <si>
    <t>Elevation (1)</t>
  </si>
  <si>
    <t>Latitude (1)</t>
  </si>
  <si>
    <t>tiwb</t>
  </si>
  <si>
    <t>Sp. Hum.</t>
  </si>
  <si>
    <t>Lbw/Lba</t>
  </si>
  <si>
    <t>Rel. Hum.</t>
  </si>
  <si>
    <t>%</t>
  </si>
  <si>
    <t>SHR = Sensible Load/Total Load Use: 0.65 for Tropic, 0.70 Humid, 0.75  Avg., 0.80 Dry, 0.85 Arid</t>
  </si>
  <si>
    <t xml:space="preserve"> See Table 5, Chp. 28, 2001 ASHRAE Fundamental Handbook (reproduced ona another worksheet).</t>
  </si>
  <si>
    <t>Table 5 -  Shading Coefficients and U-Factors for Residential Windows</t>
  </si>
  <si>
    <t>Glass Type</t>
  </si>
  <si>
    <t>Drapes, Venetian Blind, or Translucent Roller Shade</t>
  </si>
  <si>
    <t>Opaque Roller Shade</t>
  </si>
  <si>
    <t>SC</t>
  </si>
  <si>
    <t>Single</t>
  </si>
  <si>
    <t>Double</t>
  </si>
  <si>
    <t>Heat Absorbing</t>
  </si>
  <si>
    <t>Triple</t>
  </si>
  <si>
    <r>
      <t xml:space="preserve">Source: </t>
    </r>
    <r>
      <rPr>
        <i/>
        <sz val="10"/>
        <rFont val="Arial"/>
        <family val="2"/>
      </rPr>
      <t>ASHRAE Manual -  2001 Fundamentals, The American Society of Heating, Refrigeration and Air Conditioning Engineers</t>
    </r>
  </si>
  <si>
    <t>Partition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</si>
</sst>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8</xdr:col>
      <xdr:colOff>9525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8100"/>
          <a:ext cx="52768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Residential Heating and Cooling Load Calculation - 2001 ASHRAE Fundamentals Handbook
(Implemented by Dr. Steve Kavanaugh)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28575</xdr:rowOff>
    </xdr:from>
    <xdr:to>
      <xdr:col>3</xdr:col>
      <xdr:colOff>9525</xdr:colOff>
      <xdr:row>28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43175" y="4238625"/>
          <a:ext cx="609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Cooling
Factor</a:t>
          </a:r>
        </a:p>
      </xdr:txBody>
    </xdr:sp>
    <xdr:clientData/>
  </xdr:twoCellAnchor>
  <xdr:twoCellAnchor>
    <xdr:from>
      <xdr:col>4</xdr:col>
      <xdr:colOff>28575</xdr:colOff>
      <xdr:row>26</xdr:row>
      <xdr:rowOff>66675</xdr:rowOff>
    </xdr:from>
    <xdr:to>
      <xdr:col>6</xdr:col>
      <xdr:colOff>0</xdr:colOff>
      <xdr:row>27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81425" y="4276725"/>
          <a:ext cx="1476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Heating Factors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M71"/>
  <sheetViews>
    <sheetView tabSelected="1" zoomScale="75" zoomScaleNormal="75" workbookViewId="0" topLeftCell="A13">
      <selection activeCell="K24" sqref="K24"/>
    </sheetView>
  </sheetViews>
  <sheetFormatPr defaultColWidth="9.140625" defaultRowHeight="12.75"/>
  <cols>
    <col min="1" max="1" width="14.140625" style="0" customWidth="1"/>
    <col min="2" max="2" width="7.8515625" style="0" customWidth="1"/>
    <col min="3" max="3" width="8.00390625" style="0" customWidth="1"/>
    <col min="4" max="4" width="8.7109375" style="0" customWidth="1"/>
    <col min="5" max="5" width="10.140625" style="0" customWidth="1"/>
    <col min="6" max="6" width="10.7109375" style="0" customWidth="1"/>
    <col min="7" max="7" width="10.140625" style="0" customWidth="1"/>
    <col min="8" max="8" width="10.421875" style="0" customWidth="1"/>
    <col min="9" max="9" width="10.28125" style="0" customWidth="1"/>
    <col min="10" max="10" width="10.7109375" style="0" customWidth="1"/>
  </cols>
  <sheetData>
    <row r="4" spans="1:6" ht="12.75">
      <c r="A4" t="s">
        <v>54</v>
      </c>
      <c r="B4" t="s">
        <v>110</v>
      </c>
      <c r="E4" t="s">
        <v>81</v>
      </c>
      <c r="F4" s="7" t="s">
        <v>82</v>
      </c>
    </row>
    <row r="5" spans="1:11" ht="12.75">
      <c r="A5" t="s">
        <v>53</v>
      </c>
      <c r="B5" t="s">
        <v>58</v>
      </c>
      <c r="C5" s="10">
        <v>20</v>
      </c>
      <c r="D5" t="s">
        <v>4</v>
      </c>
      <c r="H5" t="s">
        <v>39</v>
      </c>
      <c r="I5" t="s">
        <v>40</v>
      </c>
      <c r="J5" s="10">
        <v>1400</v>
      </c>
      <c r="K5" t="s">
        <v>41</v>
      </c>
    </row>
    <row r="6" spans="1:11" ht="12.75">
      <c r="A6" t="s">
        <v>55</v>
      </c>
      <c r="B6" t="s">
        <v>59</v>
      </c>
      <c r="C6" s="10">
        <v>70</v>
      </c>
      <c r="D6" t="s">
        <v>4</v>
      </c>
      <c r="H6" t="s">
        <v>42</v>
      </c>
      <c r="I6" t="s">
        <v>44</v>
      </c>
      <c r="J6" s="10">
        <v>8</v>
      </c>
      <c r="K6" t="s">
        <v>43</v>
      </c>
    </row>
    <row r="7" spans="1:13" ht="12.75">
      <c r="A7" s="4" t="s">
        <v>56</v>
      </c>
      <c r="B7" t="s">
        <v>0</v>
      </c>
      <c r="C7" s="10">
        <v>95</v>
      </c>
      <c r="D7" t="s">
        <v>4</v>
      </c>
      <c r="E7" t="s">
        <v>129</v>
      </c>
      <c r="F7" s="9">
        <f>SpcHum(todb,towb,Elev)</f>
        <v>0.014184240749957796</v>
      </c>
      <c r="G7" t="s">
        <v>130</v>
      </c>
      <c r="H7" t="s">
        <v>46</v>
      </c>
      <c r="I7" t="s">
        <v>45</v>
      </c>
      <c r="J7" s="11">
        <v>3</v>
      </c>
      <c r="K7" s="4" t="s">
        <v>50</v>
      </c>
      <c r="L7" s="4" t="s">
        <v>51</v>
      </c>
      <c r="M7" s="4" t="s">
        <v>52</v>
      </c>
    </row>
    <row r="8" spans="1:11" ht="12.75">
      <c r="A8" s="4"/>
      <c r="B8" t="s">
        <v>1</v>
      </c>
      <c r="C8" s="10">
        <v>75</v>
      </c>
      <c r="D8" t="s">
        <v>4</v>
      </c>
      <c r="E8" t="s">
        <v>131</v>
      </c>
      <c r="F8" s="1">
        <f>RelHum(todb,towb,Elev)</f>
        <v>39.897700527570684</v>
      </c>
      <c r="G8" t="s">
        <v>132</v>
      </c>
      <c r="H8" t="s">
        <v>126</v>
      </c>
      <c r="I8" t="s">
        <v>6</v>
      </c>
      <c r="J8" s="10">
        <v>170</v>
      </c>
      <c r="K8" t="s">
        <v>3</v>
      </c>
    </row>
    <row r="9" spans="1:11" ht="12.75">
      <c r="A9" s="4" t="s">
        <v>57</v>
      </c>
      <c r="B9" t="s">
        <v>2</v>
      </c>
      <c r="C9" s="10">
        <v>75</v>
      </c>
      <c r="D9" t="s">
        <v>4</v>
      </c>
      <c r="E9" t="s">
        <v>129</v>
      </c>
      <c r="F9" s="9">
        <f>SpcHum(tidb,tiwb,Elev)</f>
        <v>0.009609992254160149</v>
      </c>
      <c r="G9" t="s">
        <v>130</v>
      </c>
      <c r="H9" t="s">
        <v>127</v>
      </c>
      <c r="I9" t="s">
        <v>5</v>
      </c>
      <c r="J9" s="10">
        <v>32</v>
      </c>
      <c r="K9" t="s">
        <v>7</v>
      </c>
    </row>
    <row r="10" spans="1:7" ht="12.75">
      <c r="A10" s="4"/>
      <c r="B10" t="s">
        <v>128</v>
      </c>
      <c r="C10" s="10">
        <v>63</v>
      </c>
      <c r="D10" t="s">
        <v>4</v>
      </c>
      <c r="E10" t="s">
        <v>131</v>
      </c>
      <c r="F10" s="1">
        <f>RelHum(tidb,tiwb,Elev)</f>
        <v>51.67448617671409</v>
      </c>
      <c r="G10" t="s">
        <v>132</v>
      </c>
    </row>
    <row r="11" spans="1:4" ht="12.75">
      <c r="A11" s="4" t="s">
        <v>20</v>
      </c>
      <c r="B11" t="s">
        <v>21</v>
      </c>
      <c r="C11" s="10">
        <v>20</v>
      </c>
      <c r="D11" t="s">
        <v>4</v>
      </c>
    </row>
    <row r="12" spans="1:9" ht="12.75">
      <c r="A12" s="4" t="s">
        <v>62</v>
      </c>
      <c r="B12" t="s">
        <v>63</v>
      </c>
      <c r="C12" s="10">
        <v>0.7</v>
      </c>
      <c r="D12" t="s">
        <v>111</v>
      </c>
      <c r="F12" t="s">
        <v>29</v>
      </c>
      <c r="I12" t="s">
        <v>30</v>
      </c>
    </row>
    <row r="13" spans="1:10" ht="12.75">
      <c r="A13" s="2" t="s">
        <v>8</v>
      </c>
      <c r="B13" t="s">
        <v>113</v>
      </c>
      <c r="C13" t="s">
        <v>112</v>
      </c>
      <c r="D13" t="s">
        <v>114</v>
      </c>
      <c r="E13" t="s">
        <v>31</v>
      </c>
      <c r="F13" t="s">
        <v>33</v>
      </c>
      <c r="G13" t="s">
        <v>32</v>
      </c>
      <c r="H13" t="s">
        <v>31</v>
      </c>
      <c r="I13" t="s">
        <v>33</v>
      </c>
      <c r="J13" t="s">
        <v>32</v>
      </c>
    </row>
    <row r="14" spans="1:7" ht="12.75">
      <c r="A14" t="s">
        <v>9</v>
      </c>
      <c r="B14" s="7">
        <v>0.55</v>
      </c>
      <c r="C14" s="7">
        <v>0.55</v>
      </c>
      <c r="D14" s="1">
        <f>((-0.16*todb)+37)*(C14/0.88)+(B14*(todb-tidb))</f>
        <v>24.625</v>
      </c>
      <c r="E14" s="7">
        <v>14</v>
      </c>
      <c r="F14" s="3">
        <f>D14*E14/1000</f>
        <v>0.34475</v>
      </c>
      <c r="G14" s="3">
        <f aca="true" t="shared" si="0" ref="G14:G22">B14*E14*(ti-to)/1000</f>
        <v>0.38500000000000006</v>
      </c>
    </row>
    <row r="15" spans="1:7" ht="12.75">
      <c r="A15" t="s">
        <v>10</v>
      </c>
      <c r="B15" s="7">
        <v>0.55</v>
      </c>
      <c r="C15" s="7">
        <v>0.55</v>
      </c>
      <c r="D15" s="1">
        <f>((-0.16*todb)+62)*(C15/0.88)+(B15*(todb-tidb))</f>
        <v>40.25</v>
      </c>
      <c r="E15" s="7"/>
      <c r="F15" s="3">
        <f aca="true" t="shared" si="1" ref="F15:F22">D15*E15/1000</f>
        <v>0</v>
      </c>
      <c r="G15" s="3">
        <f t="shared" si="0"/>
        <v>0</v>
      </c>
    </row>
    <row r="16" spans="1:7" ht="12.75">
      <c r="A16" t="s">
        <v>11</v>
      </c>
      <c r="B16" s="7">
        <v>0.55</v>
      </c>
      <c r="C16" s="7">
        <v>0.55</v>
      </c>
      <c r="D16" s="1">
        <f>((-0.16*todb)+84)*(C16/0.88)+(B16*(todb-tidb))</f>
        <v>54</v>
      </c>
      <c r="E16" s="7">
        <v>40</v>
      </c>
      <c r="F16" s="3">
        <f t="shared" si="1"/>
        <v>2.16</v>
      </c>
      <c r="G16" s="3">
        <f t="shared" si="0"/>
        <v>1.1</v>
      </c>
    </row>
    <row r="17" spans="1:7" ht="12.75">
      <c r="A17" t="s">
        <v>12</v>
      </c>
      <c r="B17" s="7">
        <v>0.55</v>
      </c>
      <c r="C17" s="7">
        <v>0.55</v>
      </c>
      <c r="D17" s="1">
        <f>((-0.16*todb)+76)*(C17/0.88)+(B17*(todb-tidb))*(0.0375*Lat-0.5)</f>
        <v>45.7</v>
      </c>
      <c r="E17" s="7"/>
      <c r="F17" s="3">
        <f t="shared" si="1"/>
        <v>0</v>
      </c>
      <c r="G17" s="3">
        <f t="shared" si="0"/>
        <v>0</v>
      </c>
    </row>
    <row r="18" spans="1:7" ht="12.75">
      <c r="A18" t="s">
        <v>13</v>
      </c>
      <c r="B18" s="7">
        <v>0.55</v>
      </c>
      <c r="C18" s="7">
        <v>0.55</v>
      </c>
      <c r="D18" s="1">
        <f>((-0.16*todb)+51)*(C18/0.88)+(B18*(todb-tidb))*(0.0375*Lat-0.5)</f>
        <v>30.075</v>
      </c>
      <c r="E18" s="7">
        <v>14</v>
      </c>
      <c r="F18" s="3">
        <f t="shared" si="1"/>
        <v>0.42105000000000004</v>
      </c>
      <c r="G18" s="3">
        <f t="shared" si="0"/>
        <v>0.38500000000000006</v>
      </c>
    </row>
    <row r="19" spans="1:7" ht="12.75">
      <c r="A19" t="s">
        <v>14</v>
      </c>
      <c r="B19" s="7">
        <v>0.55</v>
      </c>
      <c r="C19" s="7">
        <v>0.55</v>
      </c>
      <c r="D19" s="1">
        <f>((-0.16*todb)+76)*(C19/0.88)+(B19*(todb-tidb))*(0.0375*Lat-0.5)</f>
        <v>45.7</v>
      </c>
      <c r="E19" s="7"/>
      <c r="F19" s="3">
        <f t="shared" si="1"/>
        <v>0</v>
      </c>
      <c r="G19" s="3">
        <f t="shared" si="0"/>
        <v>0</v>
      </c>
    </row>
    <row r="20" spans="1:7" ht="12.75">
      <c r="A20" t="s">
        <v>15</v>
      </c>
      <c r="B20" s="7">
        <v>0.55</v>
      </c>
      <c r="C20" s="7">
        <v>0.3</v>
      </c>
      <c r="D20" s="1">
        <f>((-0.16*todb)+84)*(C20/0.88)+(B20*(todb-tidb))</f>
        <v>34.45454545454545</v>
      </c>
      <c r="E20" s="7">
        <v>64</v>
      </c>
      <c r="F20" s="3">
        <f t="shared" si="1"/>
        <v>2.205090909090909</v>
      </c>
      <c r="G20" s="3">
        <f t="shared" si="0"/>
        <v>1.7600000000000002</v>
      </c>
    </row>
    <row r="21" spans="1:7" ht="12.75">
      <c r="A21" t="s">
        <v>16</v>
      </c>
      <c r="B21" s="7">
        <v>0.55</v>
      </c>
      <c r="C21" s="7">
        <v>0.55</v>
      </c>
      <c r="D21" s="1">
        <f>((-0.16*todb)+62)*(C21/0.88)+(B21*(todb-tidb))</f>
        <v>40.25</v>
      </c>
      <c r="E21" s="7"/>
      <c r="F21" s="3">
        <f t="shared" si="1"/>
        <v>0</v>
      </c>
      <c r="G21" s="3">
        <f t="shared" si="0"/>
        <v>0</v>
      </c>
    </row>
    <row r="22" spans="1:7" ht="12.75">
      <c r="A22" t="s">
        <v>17</v>
      </c>
      <c r="B22" s="7">
        <v>0.55</v>
      </c>
      <c r="C22" s="7">
        <v>0.55</v>
      </c>
      <c r="D22" s="1">
        <f>((-0.16*todb)+143)*(C22/0.88)+(B22*(todb-tidb))</f>
        <v>90.875</v>
      </c>
      <c r="E22" s="7"/>
      <c r="F22" s="3">
        <f t="shared" si="1"/>
        <v>0</v>
      </c>
      <c r="G22" s="3">
        <f t="shared" si="0"/>
        <v>0</v>
      </c>
    </row>
    <row r="23" spans="1:4" ht="12.75">
      <c r="A23" s="2" t="s">
        <v>18</v>
      </c>
      <c r="B23" t="s">
        <v>19</v>
      </c>
      <c r="D23" t="s">
        <v>118</v>
      </c>
    </row>
    <row r="24" spans="1:7" ht="12.75">
      <c r="A24" t="s">
        <v>9</v>
      </c>
      <c r="B24" s="7">
        <v>0.055</v>
      </c>
      <c r="D24">
        <f>(todb-tidb)-(DR/2)+3</f>
        <v>13</v>
      </c>
      <c r="E24" s="7">
        <f>(28*8-14)</f>
        <v>210</v>
      </c>
      <c r="F24" s="3">
        <f>B24*D24*E24/1000</f>
        <v>0.15015</v>
      </c>
      <c r="G24" s="3">
        <f aca="true" t="shared" si="2" ref="G24:G31">B24*E24*(ti-to)/1000</f>
        <v>0.5775</v>
      </c>
    </row>
    <row r="25" spans="1:7" ht="12.75">
      <c r="A25" t="s">
        <v>10</v>
      </c>
      <c r="B25" s="7">
        <v>0.055</v>
      </c>
      <c r="D25">
        <f>(todb-tidb)-(DR/2)+9</f>
        <v>19</v>
      </c>
      <c r="E25" s="7"/>
      <c r="F25" s="3">
        <f aca="true" t="shared" si="3" ref="F25:F31">B25*D25*E25/1000</f>
        <v>0</v>
      </c>
      <c r="G25" s="3">
        <f t="shared" si="2"/>
        <v>0</v>
      </c>
    </row>
    <row r="26" spans="1:7" ht="12.75">
      <c r="A26" t="s">
        <v>11</v>
      </c>
      <c r="B26" s="7">
        <v>0.055</v>
      </c>
      <c r="D26">
        <f>(todb-tidb)-(DR/2)+13</f>
        <v>23</v>
      </c>
      <c r="E26" s="7">
        <f>50*8-40-20</f>
        <v>340</v>
      </c>
      <c r="F26" s="3">
        <f t="shared" si="3"/>
        <v>0.4301</v>
      </c>
      <c r="G26" s="3">
        <f t="shared" si="2"/>
        <v>0.935</v>
      </c>
    </row>
    <row r="27" spans="1:7" ht="12.75">
      <c r="A27" t="s">
        <v>12</v>
      </c>
      <c r="B27" s="7">
        <v>0.055</v>
      </c>
      <c r="D27">
        <f>(todb-tidb)-(DR/2)+11</f>
        <v>21</v>
      </c>
      <c r="E27" s="7"/>
      <c r="F27" s="3">
        <f t="shared" si="3"/>
        <v>0</v>
      </c>
      <c r="G27" s="3">
        <f t="shared" si="2"/>
        <v>0</v>
      </c>
    </row>
    <row r="28" spans="1:7" ht="12.75">
      <c r="A28" t="s">
        <v>13</v>
      </c>
      <c r="B28" s="7">
        <v>0.055</v>
      </c>
      <c r="D28">
        <f>(todb-tidb)-(DR/2)+6</f>
        <v>16</v>
      </c>
      <c r="E28" s="7">
        <f>28*8-14</f>
        <v>210</v>
      </c>
      <c r="F28" s="3">
        <f t="shared" si="3"/>
        <v>0.18480000000000002</v>
      </c>
      <c r="G28" s="3">
        <f t="shared" si="2"/>
        <v>0.5775</v>
      </c>
    </row>
    <row r="29" spans="1:7" ht="12.75">
      <c r="A29" t="s">
        <v>14</v>
      </c>
      <c r="B29" s="7">
        <v>0.055</v>
      </c>
      <c r="D29">
        <f>(todb-tidb)-(DR/2)+11</f>
        <v>21</v>
      </c>
      <c r="E29" s="7"/>
      <c r="F29" s="3">
        <f t="shared" si="3"/>
        <v>0</v>
      </c>
      <c r="G29" s="3">
        <f t="shared" si="2"/>
        <v>0</v>
      </c>
    </row>
    <row r="30" spans="1:7" ht="12.75">
      <c r="A30" t="s">
        <v>15</v>
      </c>
      <c r="B30" s="7">
        <v>0.055</v>
      </c>
      <c r="D30">
        <f>(todb-tidb)-(DR/2)+13</f>
        <v>23</v>
      </c>
      <c r="E30" s="7">
        <f>50*8-20-64</f>
        <v>316</v>
      </c>
      <c r="F30" s="3">
        <f t="shared" si="3"/>
        <v>0.39973999999999993</v>
      </c>
      <c r="G30" s="3">
        <f t="shared" si="2"/>
        <v>0.869</v>
      </c>
    </row>
    <row r="31" spans="1:7" ht="12.75">
      <c r="A31" t="s">
        <v>16</v>
      </c>
      <c r="B31" s="7">
        <v>0.055</v>
      </c>
      <c r="D31">
        <f>(todb-tidb)-(DR/2)+9</f>
        <v>19</v>
      </c>
      <c r="E31" s="7"/>
      <c r="F31" s="3">
        <f t="shared" si="3"/>
        <v>0</v>
      </c>
      <c r="G31" s="3">
        <f t="shared" si="2"/>
        <v>0</v>
      </c>
    </row>
    <row r="32" spans="1:4" ht="12.75">
      <c r="A32" s="2" t="s">
        <v>22</v>
      </c>
      <c r="B32" t="s">
        <v>19</v>
      </c>
      <c r="D32" t="s">
        <v>118</v>
      </c>
    </row>
    <row r="33" spans="1:7" ht="12.75">
      <c r="A33" t="s">
        <v>9</v>
      </c>
      <c r="B33" s="7">
        <v>0.25</v>
      </c>
      <c r="D33">
        <f>(todb-tidb)-(DR/2)+3</f>
        <v>13</v>
      </c>
      <c r="E33" s="7"/>
      <c r="F33" s="3">
        <f aca="true" t="shared" si="4" ref="F33:F43">B33*D33*E33/1000</f>
        <v>0</v>
      </c>
      <c r="G33" s="3">
        <f aca="true" t="shared" si="5" ref="G33:G40">B33*E33*(ti-to)/1000</f>
        <v>0</v>
      </c>
    </row>
    <row r="34" spans="1:7" ht="12.75">
      <c r="A34" t="s">
        <v>10</v>
      </c>
      <c r="B34" s="7">
        <v>0.25</v>
      </c>
      <c r="D34">
        <f>(todb-tidb)-(DR/2)+9</f>
        <v>19</v>
      </c>
      <c r="E34" s="7"/>
      <c r="F34" s="3">
        <f t="shared" si="4"/>
        <v>0</v>
      </c>
      <c r="G34" s="3">
        <f t="shared" si="5"/>
        <v>0</v>
      </c>
    </row>
    <row r="35" spans="1:7" ht="12.75">
      <c r="A35" t="s">
        <v>11</v>
      </c>
      <c r="B35" s="7">
        <v>0.25</v>
      </c>
      <c r="D35">
        <f>(todb-tidb)-(DR/2)+13</f>
        <v>23</v>
      </c>
      <c r="E35" s="7">
        <v>20</v>
      </c>
      <c r="F35" s="3">
        <f t="shared" si="4"/>
        <v>0.115</v>
      </c>
      <c r="G35" s="3">
        <f t="shared" si="5"/>
        <v>0.25</v>
      </c>
    </row>
    <row r="36" spans="1:7" ht="12.75">
      <c r="A36" t="s">
        <v>12</v>
      </c>
      <c r="B36" s="7">
        <v>0.25</v>
      </c>
      <c r="D36">
        <f>(todb-tidb)-(DR/2)+11</f>
        <v>21</v>
      </c>
      <c r="E36" s="7"/>
      <c r="F36" s="3">
        <f t="shared" si="4"/>
        <v>0</v>
      </c>
      <c r="G36" s="3">
        <f t="shared" si="5"/>
        <v>0</v>
      </c>
    </row>
    <row r="37" spans="1:7" ht="12.75">
      <c r="A37" t="s">
        <v>13</v>
      </c>
      <c r="B37" s="7">
        <v>0.25</v>
      </c>
      <c r="D37">
        <f>(todb-tidb)-(DR/2)+6</f>
        <v>16</v>
      </c>
      <c r="E37" s="7"/>
      <c r="F37" s="3">
        <f t="shared" si="4"/>
        <v>0</v>
      </c>
      <c r="G37" s="3">
        <f t="shared" si="5"/>
        <v>0</v>
      </c>
    </row>
    <row r="38" spans="1:7" ht="12.75">
      <c r="A38" t="s">
        <v>14</v>
      </c>
      <c r="B38" s="7">
        <v>0.25</v>
      </c>
      <c r="D38">
        <f>(todb-tidb)-(DR/2)+11</f>
        <v>21</v>
      </c>
      <c r="E38" s="7"/>
      <c r="F38" s="3">
        <f t="shared" si="4"/>
        <v>0</v>
      </c>
      <c r="G38" s="3">
        <f t="shared" si="5"/>
        <v>0</v>
      </c>
    </row>
    <row r="39" spans="1:7" ht="12.75">
      <c r="A39" t="s">
        <v>15</v>
      </c>
      <c r="B39" s="7">
        <v>0.25</v>
      </c>
      <c r="D39">
        <f>(todb-tidb)-(DR/2)+13</f>
        <v>23</v>
      </c>
      <c r="E39" s="7">
        <v>20</v>
      </c>
      <c r="F39" s="3">
        <f t="shared" si="4"/>
        <v>0.115</v>
      </c>
      <c r="G39" s="3">
        <f t="shared" si="5"/>
        <v>0.25</v>
      </c>
    </row>
    <row r="40" spans="1:7" ht="12.75">
      <c r="A40" t="s">
        <v>16</v>
      </c>
      <c r="B40" s="7">
        <v>0.25</v>
      </c>
      <c r="D40">
        <f>(todb-tidb)-(DR/2)+9</f>
        <v>19</v>
      </c>
      <c r="E40" s="7"/>
      <c r="F40" s="3">
        <f t="shared" si="4"/>
        <v>0</v>
      </c>
      <c r="G40" s="3">
        <f t="shared" si="5"/>
        <v>0</v>
      </c>
    </row>
    <row r="41" spans="1:4" ht="12.75">
      <c r="A41" s="2" t="s">
        <v>23</v>
      </c>
      <c r="B41" t="s">
        <v>19</v>
      </c>
      <c r="D41" t="s">
        <v>118</v>
      </c>
    </row>
    <row r="42" spans="1:7" ht="12.75">
      <c r="A42" t="s">
        <v>24</v>
      </c>
      <c r="B42" s="7">
        <v>0.033</v>
      </c>
      <c r="D42">
        <f>(todb-tidb)-(DR/2)+37</f>
        <v>47</v>
      </c>
      <c r="E42" s="7">
        <v>1400</v>
      </c>
      <c r="F42" s="3">
        <f t="shared" si="4"/>
        <v>2.1714</v>
      </c>
      <c r="G42" s="3">
        <f>B42*E42*(ti-to)/1000</f>
        <v>2.31</v>
      </c>
    </row>
    <row r="43" spans="1:7" ht="12.75">
      <c r="A43" t="s">
        <v>25</v>
      </c>
      <c r="B43" s="7"/>
      <c r="E43" s="7"/>
      <c r="F43" s="3">
        <f t="shared" si="4"/>
        <v>0</v>
      </c>
      <c r="G43" s="3">
        <f>B43*E43*(ti-to)/1000</f>
        <v>0</v>
      </c>
    </row>
    <row r="44" spans="1:4" ht="12.75">
      <c r="A44" s="2" t="s">
        <v>145</v>
      </c>
      <c r="B44" t="s">
        <v>19</v>
      </c>
      <c r="D44" t="s">
        <v>118</v>
      </c>
    </row>
    <row r="45" spans="1:7" ht="12.75">
      <c r="A45" t="s">
        <v>27</v>
      </c>
      <c r="B45" s="7"/>
      <c r="D45">
        <f>0.6*(todb-tidb)-(DR/2)+10</f>
        <v>12</v>
      </c>
      <c r="E45" s="7"/>
      <c r="F45" s="3">
        <f>B45*D45*E45/1000</f>
        <v>0</v>
      </c>
      <c r="G45" s="3">
        <f>B45*E45*(ti-to)/1000</f>
        <v>0</v>
      </c>
    </row>
    <row r="46" spans="1:4" ht="12.75">
      <c r="A46" s="2" t="s">
        <v>26</v>
      </c>
      <c r="B46" t="s">
        <v>19</v>
      </c>
      <c r="D46" t="s">
        <v>118</v>
      </c>
    </row>
    <row r="47" spans="1:7" ht="12.75">
      <c r="A47" t="s">
        <v>28</v>
      </c>
      <c r="B47" s="7"/>
      <c r="D47">
        <f>0.6*(todb-tidb)-(DR/2)+10</f>
        <v>12</v>
      </c>
      <c r="E47" s="7"/>
      <c r="F47" s="3">
        <f>B47*D47*E47/1000</f>
        <v>0</v>
      </c>
      <c r="G47" s="3">
        <f>B47*E47*(ti-to)/1000</f>
        <v>0</v>
      </c>
    </row>
    <row r="48" spans="1:5" ht="12.75">
      <c r="A48" s="2" t="s">
        <v>35</v>
      </c>
      <c r="B48" t="s">
        <v>36</v>
      </c>
      <c r="C48" t="s">
        <v>34</v>
      </c>
      <c r="D48" t="s">
        <v>119</v>
      </c>
      <c r="E48" t="s">
        <v>37</v>
      </c>
    </row>
    <row r="49" spans="2:7" ht="12.75">
      <c r="B49" s="23"/>
      <c r="C49" s="7">
        <v>0.5</v>
      </c>
      <c r="E49" s="7">
        <v>156</v>
      </c>
      <c r="G49" s="3">
        <f>C49*E49*(ti-to)/1000</f>
        <v>3.9</v>
      </c>
    </row>
    <row r="50" spans="1:4" ht="12.75">
      <c r="A50" s="2" t="s">
        <v>38</v>
      </c>
      <c r="B50" t="s">
        <v>47</v>
      </c>
      <c r="C50" t="s">
        <v>48</v>
      </c>
      <c r="D50" t="s">
        <v>49</v>
      </c>
    </row>
    <row r="51" spans="1:7" ht="12.75">
      <c r="A51" t="s">
        <v>60</v>
      </c>
      <c r="B51">
        <f>ACHW(to,Leakage)</f>
        <v>1.23</v>
      </c>
      <c r="C51">
        <f>J5*J6</f>
        <v>11200</v>
      </c>
      <c r="D51" s="1">
        <f>B51*C51/60</f>
        <v>229.6</v>
      </c>
      <c r="G51" s="3">
        <f>1.1*D51*(ti-to)/1000</f>
        <v>12.628</v>
      </c>
    </row>
    <row r="52" spans="1:6" ht="12.75">
      <c r="A52" s="4" t="s">
        <v>61</v>
      </c>
      <c r="B52" s="8">
        <f>ACHS(todb,Leakage)</f>
        <v>0.72</v>
      </c>
      <c r="C52">
        <f>J5*J6</f>
        <v>11200</v>
      </c>
      <c r="D52" s="1">
        <f>B52*C52/60</f>
        <v>134.4</v>
      </c>
      <c r="F52" s="3">
        <f>1.1*D52*(ti-to)/1000</f>
        <v>7.392000000000002</v>
      </c>
    </row>
    <row r="53" spans="1:4" ht="12.75">
      <c r="A53" s="2" t="s">
        <v>122</v>
      </c>
      <c r="B53" t="s">
        <v>123</v>
      </c>
      <c r="D53" t="s">
        <v>124</v>
      </c>
    </row>
    <row r="54" spans="2:6" ht="12.75">
      <c r="B54" s="7">
        <v>5</v>
      </c>
      <c r="D54" s="7">
        <v>230</v>
      </c>
      <c r="F54">
        <f>B54*D54/1000</f>
        <v>1.15</v>
      </c>
    </row>
    <row r="55" spans="1:3" ht="12.75">
      <c r="A55" s="2" t="s">
        <v>67</v>
      </c>
      <c r="B55" t="s">
        <v>65</v>
      </c>
      <c r="C55" t="s">
        <v>66</v>
      </c>
    </row>
    <row r="56" spans="1:6" ht="12.75">
      <c r="A56" s="4" t="s">
        <v>64</v>
      </c>
      <c r="B56" s="7">
        <v>1600</v>
      </c>
      <c r="C56" s="7"/>
      <c r="F56" s="3">
        <f>B56/1000</f>
        <v>1.6</v>
      </c>
    </row>
    <row r="57" spans="1:6" ht="12.75">
      <c r="A57" s="4" t="s">
        <v>68</v>
      </c>
      <c r="B57" s="7"/>
      <c r="C57" s="7">
        <v>400</v>
      </c>
      <c r="F57" s="3">
        <f>3.412*C57/1000</f>
        <v>1.3648</v>
      </c>
    </row>
    <row r="59" spans="1:6" ht="12.75">
      <c r="A59" s="2" t="s">
        <v>74</v>
      </c>
      <c r="F59" s="5"/>
    </row>
    <row r="60" spans="1:6" ht="12.75">
      <c r="A60" s="2" t="s">
        <v>69</v>
      </c>
      <c r="B60" t="s">
        <v>80</v>
      </c>
      <c r="F60" s="5">
        <f>SUM(F14:F59)</f>
        <v>20.203880909090913</v>
      </c>
    </row>
    <row r="61" spans="1:7" ht="12.75">
      <c r="A61" s="2" t="s">
        <v>70</v>
      </c>
      <c r="B61" t="s">
        <v>80</v>
      </c>
      <c r="G61" s="5">
        <f>SUM(G14:G60)</f>
        <v>25.927</v>
      </c>
    </row>
    <row r="62" spans="2:3" ht="12.75">
      <c r="B62" t="s">
        <v>72</v>
      </c>
      <c r="C62" t="s">
        <v>73</v>
      </c>
    </row>
    <row r="63" spans="1:7" ht="12.75">
      <c r="A63" t="s">
        <v>71</v>
      </c>
      <c r="B63" s="7">
        <v>0.1</v>
      </c>
      <c r="C63" s="7">
        <v>0.1</v>
      </c>
      <c r="F63" s="6">
        <f>B63*F60</f>
        <v>2.0203880909090914</v>
      </c>
      <c r="G63" s="6">
        <f>C63*G61</f>
        <v>2.5927000000000002</v>
      </c>
    </row>
    <row r="65" ht="12.75">
      <c r="A65" s="2" t="s">
        <v>74</v>
      </c>
    </row>
    <row r="66" spans="1:7" ht="12.75">
      <c r="A66" s="2" t="s">
        <v>75</v>
      </c>
      <c r="B66" t="s">
        <v>80</v>
      </c>
      <c r="F66" s="5">
        <f>SUM(F60:F65)</f>
        <v>22.224269000000003</v>
      </c>
      <c r="G66" s="2"/>
    </row>
    <row r="67" spans="1:7" ht="12.75">
      <c r="A67" s="2" t="s">
        <v>76</v>
      </c>
      <c r="B67" t="s">
        <v>80</v>
      </c>
      <c r="F67" s="2"/>
      <c r="G67" s="5">
        <f>SUM(G61:G66)</f>
        <v>28.5197</v>
      </c>
    </row>
    <row r="69" ht="12.75">
      <c r="A69" s="2" t="s">
        <v>77</v>
      </c>
    </row>
    <row r="70" spans="1:6" ht="12.75">
      <c r="A70" s="2" t="s">
        <v>78</v>
      </c>
      <c r="B70" t="s">
        <v>80</v>
      </c>
      <c r="F70" s="5">
        <f>F66/C12</f>
        <v>31.74895571428572</v>
      </c>
    </row>
    <row r="71" spans="1:7" ht="12.75">
      <c r="A71" s="2" t="s">
        <v>79</v>
      </c>
      <c r="B71" t="s">
        <v>80</v>
      </c>
      <c r="G71" s="5">
        <f>G67</f>
        <v>28.5197</v>
      </c>
    </row>
  </sheetData>
  <printOptions/>
  <pageMargins left="0.75" right="0.75" top="0.47" bottom="0.51" header="0.86" footer="0.5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25"/>
  <sheetViews>
    <sheetView zoomScale="75" zoomScaleNormal="75" workbookViewId="0" topLeftCell="A1">
      <selection activeCell="L27" sqref="L27"/>
    </sheetView>
  </sheetViews>
  <sheetFormatPr defaultColWidth="9.140625" defaultRowHeight="12.75"/>
  <cols>
    <col min="1" max="1" width="26.00390625" style="0" customWidth="1"/>
    <col min="2" max="2" width="12.00390625" style="0" customWidth="1"/>
    <col min="5" max="5" width="11.00390625" style="0" customWidth="1"/>
    <col min="6" max="6" width="11.57421875" style="0" customWidth="1"/>
  </cols>
  <sheetData>
    <row r="2" spans="2:6" ht="12.75">
      <c r="B2" t="s">
        <v>83</v>
      </c>
      <c r="C2" t="s">
        <v>78</v>
      </c>
      <c r="D2" t="s">
        <v>84</v>
      </c>
      <c r="E2" t="s">
        <v>85</v>
      </c>
      <c r="F2" t="s">
        <v>86</v>
      </c>
    </row>
    <row r="3" spans="1:7" ht="12.75">
      <c r="A3" t="s">
        <v>87</v>
      </c>
      <c r="B3" t="s">
        <v>88</v>
      </c>
      <c r="C3" t="s">
        <v>89</v>
      </c>
      <c r="D3" t="s">
        <v>90</v>
      </c>
      <c r="E3" t="s">
        <v>91</v>
      </c>
      <c r="F3" t="s">
        <v>92</v>
      </c>
      <c r="G3" t="s">
        <v>90</v>
      </c>
    </row>
    <row r="4" spans="1:7" ht="12.75">
      <c r="A4" t="s">
        <v>93</v>
      </c>
      <c r="B4" t="s">
        <v>94</v>
      </c>
      <c r="C4">
        <v>0.25</v>
      </c>
      <c r="D4">
        <v>0.15</v>
      </c>
      <c r="E4">
        <v>0.25</v>
      </c>
      <c r="F4">
        <v>0.3</v>
      </c>
      <c r="G4">
        <v>0.15</v>
      </c>
    </row>
    <row r="5" spans="1:7" ht="12.75">
      <c r="A5" t="s">
        <v>95</v>
      </c>
      <c r="B5" t="s">
        <v>96</v>
      </c>
      <c r="C5">
        <v>0.15</v>
      </c>
      <c r="D5">
        <v>0.08</v>
      </c>
      <c r="E5">
        <v>0.15</v>
      </c>
      <c r="F5">
        <v>0.2</v>
      </c>
      <c r="G5">
        <v>0.08</v>
      </c>
    </row>
    <row r="6" spans="1:7" ht="12.75">
      <c r="A6" t="s">
        <v>97</v>
      </c>
      <c r="B6" t="s">
        <v>98</v>
      </c>
      <c r="C6">
        <v>0.1</v>
      </c>
      <c r="D6">
        <v>0.06</v>
      </c>
      <c r="E6">
        <v>0.1</v>
      </c>
      <c r="F6">
        <v>0.15</v>
      </c>
      <c r="G6">
        <v>0.06</v>
      </c>
    </row>
    <row r="7" spans="2:7" ht="12.75">
      <c r="B7" t="s">
        <v>99</v>
      </c>
      <c r="C7">
        <v>0.05</v>
      </c>
      <c r="D7">
        <v>0.03</v>
      </c>
      <c r="E7">
        <v>0.05</v>
      </c>
      <c r="F7">
        <v>0.1</v>
      </c>
      <c r="G7">
        <v>0.03</v>
      </c>
    </row>
    <row r="9" spans="1:7" ht="12.75">
      <c r="A9" t="s">
        <v>100</v>
      </c>
      <c r="B9" t="s">
        <v>94</v>
      </c>
      <c r="C9">
        <v>0.2</v>
      </c>
      <c r="D9">
        <v>0.12</v>
      </c>
      <c r="E9">
        <v>0.2</v>
      </c>
      <c r="F9">
        <v>0.25</v>
      </c>
      <c r="G9">
        <v>0.12</v>
      </c>
    </row>
    <row r="10" spans="1:7" ht="12.75">
      <c r="A10" t="s">
        <v>101</v>
      </c>
      <c r="B10" t="s">
        <v>96</v>
      </c>
      <c r="C10">
        <v>0.1</v>
      </c>
      <c r="D10">
        <v>0.06</v>
      </c>
      <c r="E10">
        <v>0.1</v>
      </c>
      <c r="F10">
        <v>0.15</v>
      </c>
      <c r="G10">
        <v>0.06</v>
      </c>
    </row>
    <row r="11" spans="1:7" ht="12.75">
      <c r="A11" t="s">
        <v>102</v>
      </c>
      <c r="B11" t="s">
        <v>98</v>
      </c>
      <c r="C11">
        <v>0.05</v>
      </c>
      <c r="D11">
        <v>0.03</v>
      </c>
      <c r="E11">
        <v>0.05</v>
      </c>
      <c r="F11">
        <v>0.1</v>
      </c>
      <c r="G11">
        <v>0.03</v>
      </c>
    </row>
    <row r="12" spans="2:7" ht="12.75">
      <c r="B12" t="s">
        <v>99</v>
      </c>
      <c r="C12">
        <v>0.03</v>
      </c>
      <c r="D12">
        <v>0</v>
      </c>
      <c r="E12">
        <v>0.03</v>
      </c>
      <c r="F12">
        <v>0.05</v>
      </c>
      <c r="G12">
        <v>0</v>
      </c>
    </row>
    <row r="14" spans="2:7" ht="12.75">
      <c r="B14" t="s">
        <v>94</v>
      </c>
      <c r="C14">
        <v>0.1</v>
      </c>
      <c r="D14">
        <v>0</v>
      </c>
      <c r="E14">
        <v>0.1</v>
      </c>
      <c r="F14">
        <v>0.15</v>
      </c>
      <c r="G14">
        <v>0</v>
      </c>
    </row>
    <row r="15" spans="1:7" ht="12.75">
      <c r="A15" t="s">
        <v>103</v>
      </c>
      <c r="B15" t="s">
        <v>96</v>
      </c>
      <c r="C15">
        <v>0.05</v>
      </c>
      <c r="D15">
        <v>0</v>
      </c>
      <c r="E15">
        <v>0.05</v>
      </c>
      <c r="F15">
        <v>0.1</v>
      </c>
      <c r="G15">
        <v>0</v>
      </c>
    </row>
    <row r="16" spans="1:7" ht="12.75">
      <c r="A16" t="s">
        <v>104</v>
      </c>
      <c r="B16" t="s">
        <v>98</v>
      </c>
      <c r="C16">
        <v>0.03</v>
      </c>
      <c r="D16">
        <v>0</v>
      </c>
      <c r="E16">
        <v>0.03</v>
      </c>
      <c r="F16">
        <v>0.08</v>
      </c>
      <c r="G16">
        <v>0</v>
      </c>
    </row>
    <row r="17" spans="2:7" ht="12.75">
      <c r="B17" t="s">
        <v>99</v>
      </c>
      <c r="C17">
        <v>0</v>
      </c>
      <c r="D17">
        <v>0</v>
      </c>
      <c r="E17">
        <v>0</v>
      </c>
      <c r="F17">
        <v>0.03</v>
      </c>
      <c r="G17">
        <v>0</v>
      </c>
    </row>
    <row r="19" spans="2:7" ht="12.75">
      <c r="B19" t="s">
        <v>94</v>
      </c>
      <c r="C19">
        <v>0.1</v>
      </c>
      <c r="D19">
        <v>0.06</v>
      </c>
      <c r="E19">
        <v>0.1</v>
      </c>
      <c r="F19">
        <v>0.15</v>
      </c>
      <c r="G19">
        <v>0.06</v>
      </c>
    </row>
    <row r="20" spans="1:7" ht="12.75">
      <c r="A20" t="s">
        <v>105</v>
      </c>
      <c r="B20" t="s">
        <v>96</v>
      </c>
      <c r="C20">
        <v>0.05</v>
      </c>
      <c r="D20">
        <v>0.03</v>
      </c>
      <c r="E20">
        <v>0.05</v>
      </c>
      <c r="F20">
        <v>0.1</v>
      </c>
      <c r="G20">
        <v>0.03</v>
      </c>
    </row>
    <row r="21" spans="1:7" ht="12.75">
      <c r="A21" t="s">
        <v>106</v>
      </c>
      <c r="B21" t="s">
        <v>98</v>
      </c>
      <c r="C21">
        <v>0.03</v>
      </c>
      <c r="D21">
        <v>0</v>
      </c>
      <c r="E21">
        <v>0.03</v>
      </c>
      <c r="F21">
        <v>0.08</v>
      </c>
      <c r="G21">
        <v>0</v>
      </c>
    </row>
    <row r="22" spans="2:7" ht="12.75">
      <c r="B22" t="s">
        <v>99</v>
      </c>
      <c r="C22">
        <v>0</v>
      </c>
      <c r="D22">
        <v>0</v>
      </c>
      <c r="E22">
        <v>0</v>
      </c>
      <c r="F22">
        <v>0.03</v>
      </c>
      <c r="G22">
        <v>0</v>
      </c>
    </row>
    <row r="24" spans="1:7" ht="12.75">
      <c r="A24" t="s">
        <v>107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2.75">
      <c r="A25" t="s">
        <v>108</v>
      </c>
      <c r="B25" t="s">
        <v>109</v>
      </c>
      <c r="C25">
        <v>0</v>
      </c>
      <c r="D25">
        <v>0</v>
      </c>
      <c r="E25">
        <v>0</v>
      </c>
      <c r="F25">
        <v>0</v>
      </c>
      <c r="G2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C20" sqref="C20"/>
    </sheetView>
  </sheetViews>
  <sheetFormatPr defaultColWidth="9.140625" defaultRowHeight="12.75"/>
  <cols>
    <col min="1" max="1" width="13.28125" style="0" customWidth="1"/>
    <col min="4" max="4" width="10.7109375" style="0" customWidth="1"/>
    <col min="5" max="5" width="11.8515625" style="0" customWidth="1"/>
  </cols>
  <sheetData>
    <row r="2" ht="12.75">
      <c r="A2" s="12" t="s">
        <v>135</v>
      </c>
    </row>
    <row r="3" ht="12.75">
      <c r="A3" s="12"/>
    </row>
    <row r="4" spans="1:7" ht="39.75" customHeight="1">
      <c r="A4" s="12"/>
      <c r="B4" s="24" t="s">
        <v>94</v>
      </c>
      <c r="C4" s="24"/>
      <c r="D4" s="25" t="s">
        <v>137</v>
      </c>
      <c r="E4" s="25"/>
      <c r="F4" s="25" t="s">
        <v>138</v>
      </c>
      <c r="G4" s="25"/>
    </row>
    <row r="5" spans="1:7" ht="12.75">
      <c r="A5" s="2" t="s">
        <v>136</v>
      </c>
      <c r="B5" s="13" t="s">
        <v>139</v>
      </c>
      <c r="C5" s="13" t="s">
        <v>19</v>
      </c>
      <c r="D5" s="13" t="s">
        <v>139</v>
      </c>
      <c r="E5" s="13" t="s">
        <v>19</v>
      </c>
      <c r="F5" s="13" t="s">
        <v>139</v>
      </c>
      <c r="G5" s="13" t="s">
        <v>19</v>
      </c>
    </row>
    <row r="6" spans="1:7" ht="12.75">
      <c r="A6" t="s">
        <v>140</v>
      </c>
      <c r="B6" s="14">
        <v>1</v>
      </c>
      <c r="C6" s="15">
        <v>1.04</v>
      </c>
      <c r="D6" s="15">
        <v>0.5</v>
      </c>
      <c r="E6" s="15">
        <v>0.81</v>
      </c>
      <c r="F6" s="15">
        <v>0.38</v>
      </c>
      <c r="G6" s="16">
        <v>0.81</v>
      </c>
    </row>
    <row r="7" spans="1:7" ht="12.75">
      <c r="A7" s="4" t="s">
        <v>141</v>
      </c>
      <c r="B7" s="17">
        <v>0.88</v>
      </c>
      <c r="C7" s="18">
        <v>0.61</v>
      </c>
      <c r="D7" s="18">
        <v>0.45</v>
      </c>
      <c r="E7" s="18">
        <v>0.55</v>
      </c>
      <c r="F7" s="18">
        <v>0.36</v>
      </c>
      <c r="G7" s="19">
        <v>0.55</v>
      </c>
    </row>
    <row r="8" spans="1:7" ht="12.75">
      <c r="A8" s="4" t="s">
        <v>142</v>
      </c>
      <c r="B8" s="17">
        <v>0.58</v>
      </c>
      <c r="C8" s="18">
        <v>0.45</v>
      </c>
      <c r="D8" s="18">
        <v>0.37</v>
      </c>
      <c r="E8" s="18">
        <v>0.44</v>
      </c>
      <c r="F8" s="18">
        <v>0.33</v>
      </c>
      <c r="G8" s="19">
        <v>0.44</v>
      </c>
    </row>
    <row r="9" spans="1:7" ht="12.75">
      <c r="A9" s="4" t="s">
        <v>143</v>
      </c>
      <c r="B9" s="20">
        <v>0.8</v>
      </c>
      <c r="C9" s="21">
        <v>0.44</v>
      </c>
      <c r="D9" s="21">
        <v>0.44</v>
      </c>
      <c r="E9" s="21">
        <v>0.4</v>
      </c>
      <c r="F9" s="21">
        <v>0.36</v>
      </c>
      <c r="G9" s="22">
        <v>0.4</v>
      </c>
    </row>
    <row r="12" spans="1:7" ht="36.75" customHeight="1">
      <c r="A12" s="26" t="s">
        <v>144</v>
      </c>
      <c r="B12" s="26"/>
      <c r="C12" s="26"/>
      <c r="D12" s="26"/>
      <c r="E12" s="26"/>
      <c r="F12" s="26"/>
      <c r="G12" s="26"/>
    </row>
  </sheetData>
  <mergeCells count="4">
    <mergeCell ref="B4:C4"/>
    <mergeCell ref="D4:E4"/>
    <mergeCell ref="F4:G4"/>
    <mergeCell ref="A12:G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 topLeftCell="A1">
      <selection activeCell="B5" sqref="B5"/>
    </sheetView>
  </sheetViews>
  <sheetFormatPr defaultColWidth="9.140625" defaultRowHeight="12.75"/>
  <cols>
    <col min="2" max="2" width="91.28125" style="0" customWidth="1"/>
  </cols>
  <sheetData>
    <row r="1" ht="12.75">
      <c r="A1" t="s">
        <v>115</v>
      </c>
    </row>
    <row r="2" spans="1:2" ht="12.75">
      <c r="A2">
        <v>1</v>
      </c>
      <c r="B2" t="s">
        <v>116</v>
      </c>
    </row>
    <row r="3" spans="1:2" ht="12.75">
      <c r="A3">
        <v>2</v>
      </c>
      <c r="B3" t="s">
        <v>133</v>
      </c>
    </row>
    <row r="4" spans="1:2" ht="12.75">
      <c r="A4">
        <v>3</v>
      </c>
      <c r="B4" t="s">
        <v>125</v>
      </c>
    </row>
    <row r="5" spans="1:2" ht="12.75">
      <c r="A5">
        <v>4</v>
      </c>
      <c r="B5" t="s">
        <v>134</v>
      </c>
    </row>
    <row r="6" spans="1:2" ht="12.75">
      <c r="A6">
        <v>5</v>
      </c>
      <c r="B6" t="s">
        <v>117</v>
      </c>
    </row>
    <row r="7" spans="1:2" ht="12.75">
      <c r="A7">
        <v>6</v>
      </c>
      <c r="B7" t="s">
        <v>120</v>
      </c>
    </row>
    <row r="8" spans="1:2" ht="12.75">
      <c r="A8">
        <v>7</v>
      </c>
      <c r="B8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skavanaugh</dc:creator>
  <cp:keywords/>
  <dc:description/>
  <cp:lastModifiedBy>cmidkiff</cp:lastModifiedBy>
  <cp:lastPrinted>2003-03-06T17:16:10Z</cp:lastPrinted>
  <dcterms:created xsi:type="dcterms:W3CDTF">2003-03-05T17:01:23Z</dcterms:created>
  <dcterms:modified xsi:type="dcterms:W3CDTF">2004-02-24T22:16:52Z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1211143791</vt:i4>
  </property>
  <property fmtid="{D5CDD505-2E9C-101B-9397-08002B2CF9AE}" pid="4" name="_EmailSubje">
    <vt:lpwstr>HW 5 solution and stuff for the web</vt:lpwstr>
  </property>
  <property fmtid="{D5CDD505-2E9C-101B-9397-08002B2CF9AE}" pid="5" name="_AuthorEma">
    <vt:lpwstr>Cmidkiff@coe.eng.ua.edu</vt:lpwstr>
  </property>
  <property fmtid="{D5CDD505-2E9C-101B-9397-08002B2CF9AE}" pid="6" name="_AuthorEmailDisplayNa">
    <vt:lpwstr>Clark Midkiff</vt:lpwstr>
  </property>
</Properties>
</file>