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BUILDING" sheetId="1" r:id="rId1"/>
    <sheet name="Data" sheetId="2" r:id="rId2"/>
    <sheet name="Vel Head loss" sheetId="3" r:id="rId3"/>
    <sheet name="data base" sheetId="4" state="hidden" r:id="rId4"/>
  </sheets>
  <definedNames>
    <definedName name="consultant_s">'data base'!$B$2:$B$14</definedName>
    <definedName name="delta_T">#REF!</definedName>
    <definedName name="description___item">'data base'!$A$2:$A$18</definedName>
    <definedName name="engineer_s">'data base'!$C$2:$C$8</definedName>
    <definedName name="Float">#REF!</definedName>
    <definedName name="Flow_Velocity_Float">#REF!</definedName>
    <definedName name="HeadLossLimit">#REF!</definedName>
    <definedName name="HeadLossLimit_BalanceLine" localSheetId="0">#REF!</definedName>
    <definedName name="HeadLossLimit_BalanceLine">#REF!</definedName>
    <definedName name="HeadLossLimit_LargePipe">#REF!</definedName>
    <definedName name="HeadLossLimit_SmallPipe">#REF!</definedName>
    <definedName name="kv">'Data'!$N$2:$N$19</definedName>
    <definedName name="Max_Flow_Velocity">#REF!</definedName>
    <definedName name="Min_Flow_Velocity">#REF!</definedName>
    <definedName name="pipe_medium_s">'data base'!$D$2:$D$20</definedName>
    <definedName name="_xlnm.Print_Area" localSheetId="0">'BUILDING'!$A$1:$N$115</definedName>
    <definedName name="_xlnm.Print_Area" localSheetId="1">'Data'!$A$1:$G$22</definedName>
    <definedName name="size">'Data'!$A$2:$A$21</definedName>
  </definedNames>
  <calcPr fullCalcOnLoad="1"/>
</workbook>
</file>

<file path=xl/comments1.xml><?xml version="1.0" encoding="utf-8"?>
<comments xmlns="http://schemas.openxmlformats.org/spreadsheetml/2006/main">
  <authors>
    <author>EMPLOYEE</author>
  </authors>
  <commentList>
    <comment ref="A12" authorId="0">
      <text>
        <r>
          <rPr>
            <b/>
            <sz val="8"/>
            <rFont val="Tahoma"/>
            <family val="2"/>
          </rPr>
          <t>ONLY ONE FITTING OR STRAIGHT 
LENGTH PER LINE.
NOT BOTH !!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<sst xmlns="http://schemas.openxmlformats.org/spreadsheetml/2006/main" count="524" uniqueCount="197">
  <si>
    <t>PUMP HEAD CALCULATION SHEET</t>
  </si>
  <si>
    <t>Prject name:</t>
  </si>
  <si>
    <t>Pages</t>
  </si>
  <si>
    <t>of</t>
  </si>
  <si>
    <t>DATE</t>
  </si>
  <si>
    <t>Project No.</t>
  </si>
  <si>
    <t>REVISION</t>
  </si>
  <si>
    <t>ENGINEER</t>
  </si>
  <si>
    <t>Consultant:</t>
  </si>
  <si>
    <t>PIPE CONSTRUCTION</t>
  </si>
  <si>
    <t>Supplier:</t>
  </si>
  <si>
    <t>A</t>
  </si>
  <si>
    <t>Designation</t>
  </si>
  <si>
    <t>Location:</t>
  </si>
  <si>
    <t>l/s</t>
  </si>
  <si>
    <t>KPa</t>
  </si>
  <si>
    <t>Spec duty</t>
  </si>
  <si>
    <t>Actual</t>
  </si>
  <si>
    <t>PIPE</t>
  </si>
  <si>
    <t>LENGTH. OR</t>
  </si>
  <si>
    <t>PRESS</t>
  </si>
  <si>
    <t>No.</t>
  </si>
  <si>
    <t>TOTAL</t>
  </si>
  <si>
    <t>PROGRESSIVE</t>
  </si>
  <si>
    <t>DESCRIPTION</t>
  </si>
  <si>
    <t>SECT</t>
  </si>
  <si>
    <t>SIZE</t>
  </si>
  <si>
    <t>FLOW</t>
  </si>
  <si>
    <t>VEL</t>
  </si>
  <si>
    <t>EQUIVELENT</t>
  </si>
  <si>
    <t>DROP</t>
  </si>
  <si>
    <t>OFF</t>
  </si>
  <si>
    <t>P.D</t>
  </si>
  <si>
    <t>PRESS. DROP</t>
  </si>
  <si>
    <t>REMARKS</t>
  </si>
  <si>
    <t>DIA</t>
  </si>
  <si>
    <t>AREA</t>
  </si>
  <si>
    <t>/ ITEM</t>
  </si>
  <si>
    <t>-ION</t>
  </si>
  <si>
    <t>mm</t>
  </si>
  <si>
    <t>m/s</t>
  </si>
  <si>
    <t>m</t>
  </si>
  <si>
    <t>kPa/m</t>
  </si>
  <si>
    <t>kPa</t>
  </si>
  <si>
    <t>SUB-TOTAL</t>
  </si>
  <si>
    <t>NOTES:</t>
  </si>
  <si>
    <t>SAFETY</t>
  </si>
  <si>
    <t>TOTAL P.D</t>
  </si>
  <si>
    <t>SUPPLIER</t>
  </si>
  <si>
    <t>MODEL No.</t>
  </si>
  <si>
    <t>MODEL SPECIFIED</t>
  </si>
  <si>
    <t>MODEL SELECTED</t>
  </si>
  <si>
    <t>description / item</t>
  </si>
  <si>
    <t>90 R Bend</t>
  </si>
  <si>
    <t>Non Return Valve</t>
  </si>
  <si>
    <t>Tee - Branch</t>
  </si>
  <si>
    <t>Tee - Line</t>
  </si>
  <si>
    <t>consultant's</t>
  </si>
  <si>
    <t>engineer's</t>
  </si>
  <si>
    <t>pipe medium's</t>
  </si>
  <si>
    <t>Pipe data</t>
  </si>
  <si>
    <t>Bassett's</t>
  </si>
  <si>
    <t>A.B.S (Thermoplastic - Class 4.5)</t>
  </si>
  <si>
    <t>Civil &amp; Civic</t>
  </si>
  <si>
    <t>C.Pinder</t>
  </si>
  <si>
    <t>A.B.S (Thermoplastic - Class 6)</t>
  </si>
  <si>
    <t>nominal</t>
  </si>
  <si>
    <t>inside</t>
  </si>
  <si>
    <t>wall thk</t>
  </si>
  <si>
    <t>Maximum</t>
  </si>
  <si>
    <t>Mass</t>
  </si>
  <si>
    <t>Control Valve</t>
  </si>
  <si>
    <t>EMF Griffith's</t>
  </si>
  <si>
    <t>A.B.S (Thermoplastic - Class 9)</t>
  </si>
  <si>
    <t>dia</t>
  </si>
  <si>
    <t>Pressure kPa</t>
  </si>
  <si>
    <t>kg/m</t>
  </si>
  <si>
    <t>Cooling coil</t>
  </si>
  <si>
    <t>Lincolne Scott</t>
  </si>
  <si>
    <t>A.B.S (Thermoplastic - Class 10)</t>
  </si>
  <si>
    <t>Mienhardt</t>
  </si>
  <si>
    <t>J.Smith</t>
  </si>
  <si>
    <t>A.B.S (Thermoplastic - Class 12)</t>
  </si>
  <si>
    <t>Heat meter</t>
  </si>
  <si>
    <t>Q Build</t>
  </si>
  <si>
    <t>A.B.S (Thermoplastic - Class 15)</t>
  </si>
  <si>
    <t>WBM</t>
  </si>
  <si>
    <t>Coes-therm</t>
  </si>
  <si>
    <t>Straight pipe</t>
  </si>
  <si>
    <t>Copper tube (Type A)</t>
  </si>
  <si>
    <t>Strainer</t>
  </si>
  <si>
    <t>Copper tube (Type B)</t>
  </si>
  <si>
    <t>Galv Steel Pipe (Medium)</t>
  </si>
  <si>
    <t>Heavy Steel Pipe</t>
  </si>
  <si>
    <t>Light Steel Pipe</t>
  </si>
  <si>
    <t>Medium Steel Pipe</t>
  </si>
  <si>
    <t>P.V.C (Class 12)</t>
  </si>
  <si>
    <t>Stand WT Steel</t>
  </si>
  <si>
    <t>Stainless Steel</t>
  </si>
  <si>
    <t>Absolute Roughness</t>
  </si>
  <si>
    <t>N D Y</t>
  </si>
  <si>
    <t>Griswald Valve</t>
  </si>
  <si>
    <t>Chiller</t>
  </si>
  <si>
    <t>Annubar</t>
  </si>
  <si>
    <t>L/S</t>
  </si>
  <si>
    <t>Suction</t>
  </si>
  <si>
    <t>VH loss</t>
  </si>
  <si>
    <t>meters</t>
  </si>
  <si>
    <t>Discharge</t>
  </si>
  <si>
    <t>Kpa</t>
  </si>
  <si>
    <t>Isolation Valve</t>
  </si>
  <si>
    <t>B90</t>
  </si>
  <si>
    <t>IV</t>
  </si>
  <si>
    <t>Non Ret.</t>
  </si>
  <si>
    <t>TeeLine</t>
  </si>
  <si>
    <t>TeeBend</t>
  </si>
  <si>
    <t>Reducer</t>
  </si>
  <si>
    <t>Reducer 1/2</t>
  </si>
  <si>
    <t>conc</t>
  </si>
  <si>
    <t>ecc</t>
  </si>
  <si>
    <t>Check Vlv</t>
  </si>
  <si>
    <t>Flow</t>
  </si>
  <si>
    <t>Speed</t>
  </si>
  <si>
    <t>RPM</t>
  </si>
  <si>
    <t>Head</t>
  </si>
  <si>
    <t>Change in speed</t>
  </si>
  <si>
    <t>Q</t>
  </si>
  <si>
    <t>N</t>
  </si>
  <si>
    <t>H</t>
  </si>
  <si>
    <t>M</t>
  </si>
  <si>
    <t>C.Dearling</t>
  </si>
  <si>
    <t>L.Ramah</t>
  </si>
  <si>
    <t>M.Loveday</t>
  </si>
  <si>
    <t>KV</t>
  </si>
  <si>
    <t>Valve Size</t>
  </si>
  <si>
    <t>size</t>
  </si>
  <si>
    <t>GPM</t>
  </si>
  <si>
    <t>F - Bend to pipe header</t>
  </si>
  <si>
    <t>F - To pump suction</t>
  </si>
  <si>
    <t>F - Isolation Valve</t>
  </si>
  <si>
    <t>F - Strainer</t>
  </si>
  <si>
    <t>F - From pump discharge to Header</t>
  </si>
  <si>
    <t>Building flow</t>
  </si>
  <si>
    <t>F - From pump discharge</t>
  </si>
  <si>
    <t>F - to discharge header</t>
  </si>
  <si>
    <t>F &amp; R - length of 5" pipework</t>
  </si>
  <si>
    <t>F &amp; R - bends of 5" pipework</t>
  </si>
  <si>
    <t>F &amp; R - T lines of 5" pipework</t>
  </si>
  <si>
    <t>F &amp; R - Reducer 5" to 4"</t>
  </si>
  <si>
    <t>F &amp; R - length of 4" pipework</t>
  </si>
  <si>
    <t>F &amp; R - bends of 4" pipework</t>
  </si>
  <si>
    <t>F - Coil Strainer</t>
  </si>
  <si>
    <t>F - Isolation valve</t>
  </si>
  <si>
    <t xml:space="preserve">R - Isolation valve 1 </t>
  </si>
  <si>
    <t>R - Bypass takeoff</t>
  </si>
  <si>
    <t xml:space="preserve">R - Isolation valve 2 </t>
  </si>
  <si>
    <t>Balance valve</t>
  </si>
  <si>
    <t>COIL CONTROL VALVE</t>
  </si>
  <si>
    <t>F - isolation into apartment</t>
  </si>
  <si>
    <t>R - balance into apartment</t>
  </si>
  <si>
    <t>R - line balance valve</t>
  </si>
  <si>
    <t>F - Air dirt separator</t>
  </si>
  <si>
    <t>Air Dirt Separator</t>
  </si>
  <si>
    <t>COOLING COIL</t>
  </si>
  <si>
    <t>Inside building</t>
  </si>
  <si>
    <t>worst case</t>
  </si>
  <si>
    <t>ft</t>
  </si>
  <si>
    <t xml:space="preserve">F &amp; R - Vertical pipe exiting ground </t>
  </si>
  <si>
    <t>Inside Mech. Room</t>
  </si>
  <si>
    <t>F Hoirzontal pipe</t>
  </si>
  <si>
    <t xml:space="preserve">F - Vertical pipe exiting ground </t>
  </si>
  <si>
    <t xml:space="preserve">F - horizontal pipe exiting ground </t>
  </si>
  <si>
    <t>F - Tee to main header</t>
  </si>
  <si>
    <t>F - Horizontal pipe</t>
  </si>
  <si>
    <t>F - Horizontal Pipe</t>
  </si>
  <si>
    <t xml:space="preserve">R - Horizontal Pipe to HEX header </t>
  </si>
  <si>
    <t>F &amp; R - header take off</t>
  </si>
  <si>
    <t>PUMP</t>
  </si>
  <si>
    <t>SUPPLY</t>
  </si>
  <si>
    <t>R - Bend to pipe header</t>
  </si>
  <si>
    <t>R- Bend to pipe header</t>
  </si>
  <si>
    <t xml:space="preserve">R - Horizontal Pipe to header </t>
  </si>
  <si>
    <t>RETURN</t>
  </si>
  <si>
    <t>F &amp; R - straight pipe inside plantroom</t>
  </si>
  <si>
    <t>F &amp;R - Bends inside Mech room</t>
  </si>
  <si>
    <t>F &amp; R - Return inside Mech room</t>
  </si>
  <si>
    <t>F &amp; R- Isolation Valve</t>
  </si>
  <si>
    <t xml:space="preserve">F &amp; R - Bends inside Mech room to upper </t>
  </si>
  <si>
    <t>F &amp; R</t>
  </si>
  <si>
    <t>F &amp; R - Horizontal</t>
  </si>
  <si>
    <t>F &amp; R - Vertical pipework to retail</t>
  </si>
  <si>
    <t>F &amp; R horizontal elbow at level 0</t>
  </si>
  <si>
    <t>F &amp; R Vertical elbow at level 0</t>
  </si>
  <si>
    <t>F &amp; R - Vertical pipework at retail</t>
  </si>
  <si>
    <t>F &amp; R - Horizontal pipework to retail</t>
  </si>
  <si>
    <t>F &amp; R - Horizontal bends to retail</t>
  </si>
  <si>
    <t>Index AHU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</si>
</sst>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&quot;kW&quot;"/>
    <numFmt numFmtId="173" formatCode="0.00&quot;L/s&quot;"/>
    <numFmt numFmtId="174" formatCode="0&quot;Pa/m&quot;"/>
    <numFmt numFmtId="175" formatCode="0&quot;ø&quot;"/>
    <numFmt numFmtId="176" formatCode="\+0%"/>
    <numFmt numFmtId="177" formatCode="0.0"/>
    <numFmt numFmtId="178" formatCode="###.0\ &quot;ºC&quot;"/>
    <numFmt numFmtId="179" formatCode="#,##0\ &quot;Pa/m&quot;"/>
    <numFmt numFmtId="180" formatCode="0.##\ &quot;m/s&quot;"/>
    <numFmt numFmtId="181" formatCode="0.0&quot;m/sec&quot;"/>
    <numFmt numFmtId="182" formatCode="0.00000"/>
    <numFmt numFmtId="183" formatCode="0.0000"/>
    <numFmt numFmtId="184" formatCode="0.000"/>
    <numFmt numFmtId="185" formatCode="&quot;Coil &quot;0.0&quot; kPa&quot;"/>
    <numFmt numFmtId="186" formatCode="&quot;Ctrl.V. &quot;0.0&quot; kPa&quot;"/>
    <numFmt numFmtId="187" formatCode="0.0&quot; -m ST&quot;"/>
    <numFmt numFmtId="188" formatCode="0.0&quot; -B90&quot;"/>
    <numFmt numFmtId="189" formatCode="0&quot; -IV&quot;"/>
    <numFmt numFmtId="190" formatCode="0&quot; -TLine&quot;"/>
    <numFmt numFmtId="191" formatCode="0&quot; -TBr&quot;"/>
    <numFmt numFmtId="192" formatCode="0.0&quot; -P.D&quot;"/>
    <numFmt numFmtId="193" formatCode="0&quot; -Bal PR&quot;"/>
    <numFmt numFmtId="194" formatCode="0&quot; -Red&quot;"/>
    <numFmt numFmtId="195" formatCode="0.0&quot; -P.D (kPa)&quot;"/>
    <numFmt numFmtId="196" formatCode="0&quot; Strainer&quot;"/>
    <numFmt numFmtId="197" formatCode="&quot;Crtl Vlv-  &quot;0"/>
    <numFmt numFmtId="198" formatCode="&quot;Gris Vlv-  &quot;0"/>
    <numFmt numFmtId="199" formatCode="&quot;Stad/Glb Vlv-  &quot;0"/>
    <numFmt numFmtId="200" formatCode="&quot;Chiller-  &quot;0.00"/>
    <numFmt numFmtId="201" formatCode="&quot;Flow-  &quot;0.00&quot; l/s&quot;"/>
    <numFmt numFmtId="202" formatCode="&quot;Vel Hd-  &quot;0.00&quot; kPa&quot;"/>
    <numFmt numFmtId="203" formatCode="&quot;Suction Dia - &quot;0"/>
    <numFmt numFmtId="204" formatCode="&quot;Disch Dia - &quot;0"/>
    <numFmt numFmtId="205" formatCode="&quot;Conc Red &quot;0.0&quot; Eql&quot;"/>
    <numFmt numFmtId="206" formatCode="&quot;Ecc Red &quot;0.0&quot; Eql&quot;"/>
    <numFmt numFmtId="207" formatCode="0&quot; -Strainer&quot;"/>
    <numFmt numFmtId="208" formatCode="0.000000&quot; -P.D&quot;"/>
    <numFmt numFmtId="209" formatCode="0&quot; -Chk Vlv&quot;"/>
    <numFmt numFmtId="210" formatCode="0&quot; kPa&quot;"/>
    <numFmt numFmtId="211" formatCode="0.0&quot; -SPRAY&quot;"/>
    <numFmt numFmtId="212" formatCode="0.0&quot; -LIFT&quot;"/>
    <numFmt numFmtId="213" formatCode="0.0&quot; -Lift kPa&quot;"/>
    <numFmt numFmtId="214" formatCode="0.0&quot; -Spray P.D&quot;"/>
    <numFmt numFmtId="215" formatCode="0.0&quot; -ST Lift kPa&quot;"/>
    <numFmt numFmtId="216" formatCode="0.0&quot; kPa&quot;"/>
    <numFmt numFmtId="217" formatCode="0.0&quot; -kPa&quot;"/>
    <numFmt numFmtId="218" formatCode="0.0&quot;kPa Head&quot;"/>
  </numFmts>
  <fonts count="6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9"/>
      <name val="Arial"/>
      <family val="2"/>
    </font>
    <font>
      <b/>
      <sz val="7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b/>
      <sz val="7"/>
      <color indexed="4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b/>
      <sz val="10"/>
      <color indexed="49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8" tint="-0.24997000396251678"/>
      <name val="Arial"/>
      <family val="2"/>
    </font>
    <font>
      <b/>
      <sz val="7"/>
      <color theme="8" tint="-0.24997000396251678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sz val="10"/>
      <color rgb="FFC00000"/>
      <name val="Arial"/>
      <family val="2"/>
    </font>
    <font>
      <sz val="8"/>
      <color rgb="FFC00000"/>
      <name val="Arial"/>
      <family val="2"/>
    </font>
    <font>
      <b/>
      <sz val="10"/>
      <color theme="8" tint="-0.24997000396251678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70C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77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182" fontId="4" fillId="0" borderId="0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77" fontId="0" fillId="33" borderId="26" xfId="0" applyNumberFormat="1" applyFill="1" applyBorder="1" applyAlignment="1">
      <alignment horizontal="center"/>
    </xf>
    <xf numFmtId="177" fontId="0" fillId="33" borderId="12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7" fontId="0" fillId="33" borderId="10" xfId="0" applyNumberFormat="1" applyFill="1" applyBorder="1" applyAlignment="1">
      <alignment horizontal="center"/>
    </xf>
    <xf numFmtId="177" fontId="0" fillId="33" borderId="27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77" fontId="0" fillId="0" borderId="26" xfId="0" applyNumberFormat="1" applyFill="1" applyBorder="1" applyAlignment="1">
      <alignment horizontal="center"/>
    </xf>
    <xf numFmtId="177" fontId="0" fillId="0" borderId="12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77" fontId="0" fillId="0" borderId="10" xfId="0" applyNumberFormat="1" applyFill="1" applyBorder="1" applyAlignment="1">
      <alignment horizontal="center"/>
    </xf>
    <xf numFmtId="177" fontId="0" fillId="0" borderId="27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177" fontId="0" fillId="0" borderId="26" xfId="0" applyNumberFormat="1" applyBorder="1" applyAlignment="1">
      <alignment horizontal="center"/>
    </xf>
    <xf numFmtId="177" fontId="0" fillId="0" borderId="12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83" fontId="0" fillId="0" borderId="19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38" xfId="0" applyFont="1" applyBorder="1" applyAlignment="1">
      <alignment horizontal="left"/>
    </xf>
    <xf numFmtId="184" fontId="0" fillId="0" borderId="0" xfId="0" applyNumberForma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184" fontId="10" fillId="0" borderId="0" xfId="0" applyNumberFormat="1" applyFont="1" applyAlignment="1">
      <alignment horizontal="center"/>
    </xf>
    <xf numFmtId="177" fontId="10" fillId="0" borderId="0" xfId="0" applyNumberFormat="1" applyFont="1" applyAlignment="1">
      <alignment horizontal="center"/>
    </xf>
    <xf numFmtId="0" fontId="0" fillId="0" borderId="39" xfId="0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33" borderId="0" xfId="0" applyFill="1" applyAlignment="1">
      <alignment/>
    </xf>
    <xf numFmtId="1" fontId="13" fillId="0" borderId="18" xfId="0" applyNumberFormat="1" applyFont="1" applyBorder="1" applyAlignment="1">
      <alignment horizontal="center"/>
    </xf>
    <xf numFmtId="177" fontId="13" fillId="0" borderId="18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53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Font="1" applyAlignment="1">
      <alignment/>
    </xf>
    <xf numFmtId="2" fontId="3" fillId="35" borderId="1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0" fontId="57" fillId="36" borderId="56" xfId="0" applyFont="1" applyFill="1" applyBorder="1" applyAlignment="1">
      <alignment horizontal="center"/>
    </xf>
    <xf numFmtId="0" fontId="57" fillId="36" borderId="57" xfId="0" applyFont="1" applyFill="1" applyBorder="1" applyAlignment="1">
      <alignment horizontal="center"/>
    </xf>
    <xf numFmtId="0" fontId="58" fillId="36" borderId="0" xfId="0" applyFont="1" applyFill="1" applyBorder="1" applyAlignment="1">
      <alignment horizontal="center"/>
    </xf>
    <xf numFmtId="0" fontId="57" fillId="36" borderId="0" xfId="0" applyFont="1" applyFill="1" applyBorder="1" applyAlignment="1">
      <alignment horizontal="center"/>
    </xf>
    <xf numFmtId="0" fontId="57" fillId="36" borderId="0" xfId="0" applyFont="1" applyFill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59" fillId="37" borderId="58" xfId="0" applyFont="1" applyFill="1" applyBorder="1" applyAlignment="1">
      <alignment horizontal="center"/>
    </xf>
    <xf numFmtId="0" fontId="59" fillId="37" borderId="45" xfId="0" applyFont="1" applyFill="1" applyBorder="1" applyAlignment="1">
      <alignment horizontal="center"/>
    </xf>
    <xf numFmtId="0" fontId="59" fillId="37" borderId="43" xfId="0" applyFont="1" applyFill="1" applyBorder="1" applyAlignment="1">
      <alignment horizontal="center"/>
    </xf>
    <xf numFmtId="0" fontId="59" fillId="37" borderId="10" xfId="0" applyFont="1" applyFill="1" applyBorder="1" applyAlignment="1">
      <alignment horizontal="center"/>
    </xf>
    <xf numFmtId="0" fontId="60" fillId="37" borderId="45" xfId="0" applyFont="1" applyFill="1" applyBorder="1" applyAlignment="1">
      <alignment horizontal="center"/>
    </xf>
    <xf numFmtId="0" fontId="60" fillId="37" borderId="43" xfId="0" applyFont="1" applyFill="1" applyBorder="1" applyAlignment="1">
      <alignment horizontal="center"/>
    </xf>
    <xf numFmtId="0" fontId="59" fillId="37" borderId="0" xfId="0" applyFont="1" applyFill="1" applyBorder="1" applyAlignment="1">
      <alignment horizontal="center"/>
    </xf>
    <xf numFmtId="0" fontId="60" fillId="37" borderId="12" xfId="0" applyFont="1" applyFill="1" applyBorder="1" applyAlignment="1">
      <alignment horizontal="center"/>
    </xf>
    <xf numFmtId="0" fontId="59" fillId="37" borderId="11" xfId="0" applyFont="1" applyFill="1" applyBorder="1" applyAlignment="1">
      <alignment horizontal="center"/>
    </xf>
    <xf numFmtId="0" fontId="60" fillId="37" borderId="10" xfId="0" applyFont="1" applyFill="1" applyBorder="1" applyAlignment="1">
      <alignment horizontal="center"/>
    </xf>
    <xf numFmtId="0" fontId="59" fillId="37" borderId="57" xfId="0" applyFont="1" applyFill="1" applyBorder="1" applyAlignment="1">
      <alignment horizontal="center"/>
    </xf>
    <xf numFmtId="1" fontId="59" fillId="37" borderId="13" xfId="0" applyNumberFormat="1" applyFont="1" applyFill="1" applyBorder="1" applyAlignment="1" quotePrefix="1">
      <alignment horizontal="center"/>
    </xf>
    <xf numFmtId="177" fontId="59" fillId="37" borderId="13" xfId="0" applyNumberFormat="1" applyFont="1" applyFill="1" applyBorder="1" applyAlignment="1">
      <alignment horizontal="center"/>
    </xf>
    <xf numFmtId="0" fontId="59" fillId="37" borderId="53" xfId="0" applyFont="1" applyFill="1" applyBorder="1" applyAlignment="1">
      <alignment horizontal="center"/>
    </xf>
    <xf numFmtId="1" fontId="59" fillId="37" borderId="13" xfId="0" applyNumberFormat="1" applyFont="1" applyFill="1" applyBorder="1" applyAlignment="1">
      <alignment horizontal="center"/>
    </xf>
    <xf numFmtId="1" fontId="59" fillId="37" borderId="53" xfId="0" applyNumberFormat="1" applyFont="1" applyFill="1" applyBorder="1" applyAlignment="1">
      <alignment horizontal="center"/>
    </xf>
    <xf numFmtId="1" fontId="59" fillId="37" borderId="59" xfId="0" applyNumberFormat="1" applyFont="1" applyFill="1" applyBorder="1" applyAlignment="1">
      <alignment horizontal="center"/>
    </xf>
    <xf numFmtId="2" fontId="59" fillId="37" borderId="53" xfId="0" applyNumberFormat="1" applyFont="1" applyFill="1" applyBorder="1" applyAlignment="1">
      <alignment horizontal="center"/>
    </xf>
    <xf numFmtId="1" fontId="61" fillId="0" borderId="10" xfId="0" applyNumberFormat="1" applyFont="1" applyBorder="1" applyAlignment="1">
      <alignment horizontal="center"/>
    </xf>
    <xf numFmtId="2" fontId="61" fillId="0" borderId="10" xfId="0" applyNumberFormat="1" applyFont="1" applyBorder="1" applyAlignment="1">
      <alignment horizontal="center"/>
    </xf>
    <xf numFmtId="2" fontId="62" fillId="0" borderId="12" xfId="0" applyNumberFormat="1" applyFont="1" applyBorder="1" applyAlignment="1">
      <alignment horizontal="center"/>
    </xf>
    <xf numFmtId="2" fontId="61" fillId="0" borderId="11" xfId="0" applyNumberFormat="1" applyFont="1" applyBorder="1" applyAlignment="1">
      <alignment horizontal="center"/>
    </xf>
    <xf numFmtId="184" fontId="61" fillId="0" borderId="0" xfId="0" applyNumberFormat="1" applyFont="1" applyBorder="1" applyAlignment="1">
      <alignment horizontal="center"/>
    </xf>
    <xf numFmtId="1" fontId="61" fillId="0" borderId="12" xfId="0" applyNumberFormat="1" applyFont="1" applyBorder="1" applyAlignment="1">
      <alignment horizontal="center"/>
    </xf>
    <xf numFmtId="1" fontId="61" fillId="0" borderId="0" xfId="0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0" xfId="0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4" xfId="0" applyBorder="1" applyAlignment="1">
      <alignment horizontal="center"/>
    </xf>
    <xf numFmtId="9" fontId="3" fillId="0" borderId="14" xfId="0" applyNumberFormat="1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7" fontId="0" fillId="0" borderId="51" xfId="0" applyNumberFormat="1" applyBorder="1" applyAlignment="1">
      <alignment horizontal="center"/>
    </xf>
    <xf numFmtId="177" fontId="0" fillId="0" borderId="10" xfId="0" applyNumberFormat="1" applyBorder="1" applyAlignment="1" quotePrefix="1">
      <alignment horizontal="center"/>
    </xf>
    <xf numFmtId="0" fontId="9" fillId="0" borderId="2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77" fontId="0" fillId="0" borderId="10" xfId="0" applyNumberFormat="1" applyFont="1" applyBorder="1" applyAlignment="1" quotePrefix="1">
      <alignment horizontal="center"/>
    </xf>
    <xf numFmtId="177" fontId="0" fillId="0" borderId="51" xfId="0" applyNumberFormat="1" applyFont="1" applyBorder="1" applyAlignment="1" quotePrefix="1">
      <alignment horizontal="center"/>
    </xf>
    <xf numFmtId="177" fontId="0" fillId="0" borderId="51" xfId="0" applyNumberFormat="1" applyBorder="1" applyAlignment="1" quotePrefix="1">
      <alignment horizontal="center"/>
    </xf>
    <xf numFmtId="0" fontId="63" fillId="36" borderId="45" xfId="0" applyFont="1" applyFill="1" applyBorder="1" applyAlignment="1">
      <alignment horizontal="center" vertical="center" textRotation="255"/>
    </xf>
    <xf numFmtId="0" fontId="63" fillId="36" borderId="12" xfId="0" applyFont="1" applyFill="1" applyBorder="1" applyAlignment="1">
      <alignment horizontal="center" vertical="center" textRotation="255"/>
    </xf>
    <xf numFmtId="0" fontId="63" fillId="36" borderId="53" xfId="0" applyFont="1" applyFill="1" applyBorder="1" applyAlignment="1">
      <alignment horizontal="center" vertical="center" textRotation="255"/>
    </xf>
    <xf numFmtId="177" fontId="0" fillId="0" borderId="10" xfId="0" applyNumberFormat="1" applyFont="1" applyBorder="1" applyAlignment="1">
      <alignment horizontal="center"/>
    </xf>
    <xf numFmtId="177" fontId="0" fillId="0" borderId="51" xfId="0" applyNumberFormat="1" applyFont="1" applyBorder="1" applyAlignment="1">
      <alignment horizontal="center"/>
    </xf>
    <xf numFmtId="0" fontId="0" fillId="16" borderId="24" xfId="0" applyFont="1" applyFill="1" applyBorder="1" applyAlignment="1">
      <alignment horizontal="center"/>
    </xf>
    <xf numFmtId="0" fontId="0" fillId="16" borderId="0" xfId="0" applyFont="1" applyFill="1" applyBorder="1" applyAlignment="1">
      <alignment horizontal="center"/>
    </xf>
    <xf numFmtId="0" fontId="63" fillId="36" borderId="45" xfId="0" applyFont="1" applyFill="1" applyBorder="1" applyAlignment="1">
      <alignment horizontal="center" vertical="center" textRotation="255" wrapText="1"/>
    </xf>
    <xf numFmtId="0" fontId="63" fillId="36" borderId="12" xfId="0" applyFont="1" applyFill="1" applyBorder="1" applyAlignment="1">
      <alignment horizontal="center" vertical="center" textRotation="255" wrapText="1"/>
    </xf>
    <xf numFmtId="0" fontId="63" fillId="36" borderId="53" xfId="0" applyFont="1" applyFill="1" applyBorder="1" applyAlignment="1">
      <alignment horizontal="center" vertical="center" textRotation="255" wrapText="1"/>
    </xf>
    <xf numFmtId="0" fontId="59" fillId="37" borderId="43" xfId="0" applyFont="1" applyFill="1" applyBorder="1" applyAlignment="1">
      <alignment horizontal="center"/>
    </xf>
    <xf numFmtId="0" fontId="59" fillId="37" borderId="58" xfId="0" applyFont="1" applyFill="1" applyBorder="1" applyAlignment="1">
      <alignment horizontal="center"/>
    </xf>
    <xf numFmtId="0" fontId="59" fillId="37" borderId="49" xfId="0" applyFont="1" applyFill="1" applyBorder="1" applyAlignment="1">
      <alignment horizontal="center"/>
    </xf>
    <xf numFmtId="0" fontId="59" fillId="37" borderId="10" xfId="0" applyFont="1" applyFill="1" applyBorder="1" applyAlignment="1">
      <alignment horizontal="center"/>
    </xf>
    <xf numFmtId="0" fontId="59" fillId="37" borderId="11" xfId="0" applyFont="1" applyFill="1" applyBorder="1" applyAlignment="1">
      <alignment horizontal="center"/>
    </xf>
    <xf numFmtId="0" fontId="59" fillId="37" borderId="51" xfId="0" applyFont="1" applyFill="1" applyBorder="1" applyAlignment="1">
      <alignment horizontal="center"/>
    </xf>
    <xf numFmtId="0" fontId="59" fillId="37" borderId="13" xfId="0" applyFont="1" applyFill="1" applyBorder="1" applyAlignment="1" quotePrefix="1">
      <alignment horizontal="center"/>
    </xf>
    <xf numFmtId="0" fontId="59" fillId="37" borderId="59" xfId="0" applyFont="1" applyFill="1" applyBorder="1" applyAlignment="1">
      <alignment horizontal="center"/>
    </xf>
    <xf numFmtId="177" fontId="59" fillId="37" borderId="13" xfId="0" applyNumberFormat="1" applyFont="1" applyFill="1" applyBorder="1" applyAlignment="1">
      <alignment horizontal="center"/>
    </xf>
    <xf numFmtId="177" fontId="59" fillId="37" borderId="70" xfId="0" applyNumberFormat="1" applyFont="1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177" fontId="64" fillId="0" borderId="10" xfId="0" applyNumberFormat="1" applyFont="1" applyBorder="1" applyAlignment="1" quotePrefix="1">
      <alignment horizontal="center"/>
    </xf>
    <xf numFmtId="177" fontId="64" fillId="0" borderId="51" xfId="0" applyNumberFormat="1" applyFont="1" applyBorder="1" applyAlignment="1" quotePrefix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65" fillId="0" borderId="72" xfId="0" applyFont="1" applyBorder="1" applyAlignment="1">
      <alignment horizontal="center"/>
    </xf>
    <xf numFmtId="0" fontId="65" fillId="0" borderId="46" xfId="0" applyFont="1" applyBorder="1" applyAlignment="1">
      <alignment horizontal="center"/>
    </xf>
    <xf numFmtId="0" fontId="65" fillId="0" borderId="65" xfId="0" applyFont="1" applyBorder="1" applyAlignment="1">
      <alignment horizontal="center"/>
    </xf>
    <xf numFmtId="0" fontId="66" fillId="0" borderId="50" xfId="0" applyFont="1" applyBorder="1" applyAlignment="1">
      <alignment/>
    </xf>
    <xf numFmtId="0" fontId="66" fillId="0" borderId="67" xfId="0" applyFont="1" applyBorder="1" applyAlignment="1">
      <alignment/>
    </xf>
    <xf numFmtId="0" fontId="66" fillId="36" borderId="56" xfId="0" applyFont="1" applyFill="1" applyBorder="1" applyAlignment="1">
      <alignment/>
    </xf>
    <xf numFmtId="0" fontId="67" fillId="0" borderId="66" xfId="0" applyFont="1" applyBorder="1" applyAlignment="1">
      <alignment horizontal="center"/>
    </xf>
    <xf numFmtId="0" fontId="67" fillId="0" borderId="56" xfId="0" applyFont="1" applyBorder="1" applyAlignment="1">
      <alignment horizontal="center"/>
    </xf>
    <xf numFmtId="0" fontId="67" fillId="0" borderId="67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6" fillId="0" borderId="73" xfId="0" applyFont="1" applyBorder="1" applyAlignment="1">
      <alignment horizontal="center"/>
    </xf>
    <xf numFmtId="0" fontId="67" fillId="0" borderId="69" xfId="0" applyFont="1" applyBorder="1" applyAlignment="1">
      <alignment horizontal="center"/>
    </xf>
    <xf numFmtId="0" fontId="66" fillId="0" borderId="66" xfId="0" applyFont="1" applyBorder="1" applyAlignment="1">
      <alignment horizontal="center"/>
    </xf>
    <xf numFmtId="0" fontId="66" fillId="0" borderId="67" xfId="0" applyFont="1" applyBorder="1" applyAlignment="1">
      <alignment horizontal="center"/>
    </xf>
    <xf numFmtId="0" fontId="67" fillId="0" borderId="44" xfId="0" applyFont="1" applyBorder="1" applyAlignment="1">
      <alignment horizontal="center"/>
    </xf>
    <xf numFmtId="0" fontId="67" fillId="0" borderId="49" xfId="0" applyFont="1" applyBorder="1" applyAlignment="1">
      <alignment horizontal="center"/>
    </xf>
    <xf numFmtId="0" fontId="66" fillId="0" borderId="44" xfId="0" applyFont="1" applyBorder="1" applyAlignment="1">
      <alignment/>
    </xf>
    <xf numFmtId="0" fontId="66" fillId="36" borderId="45" xfId="0" applyFont="1" applyFill="1" applyBorder="1" applyAlignment="1">
      <alignment/>
    </xf>
    <xf numFmtId="0" fontId="66" fillId="0" borderId="56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59" xfId="0" applyFont="1" applyBorder="1" applyAlignment="1">
      <alignment horizontal="center"/>
    </xf>
    <xf numFmtId="0" fontId="67" fillId="0" borderId="68" xfId="0" applyFont="1" applyBorder="1" applyAlignment="1">
      <alignment horizontal="center"/>
    </xf>
    <xf numFmtId="0" fontId="66" fillId="0" borderId="24" xfId="0" applyFont="1" applyBorder="1" applyAlignment="1">
      <alignment/>
    </xf>
    <xf numFmtId="0" fontId="66" fillId="0" borderId="0" xfId="0" applyFont="1" applyBorder="1" applyAlignment="1">
      <alignment/>
    </xf>
    <xf numFmtId="0" fontId="66" fillId="36" borderId="12" xfId="0" applyFont="1" applyFill="1" applyBorder="1" applyAlignment="1">
      <alignment/>
    </xf>
    <xf numFmtId="0" fontId="66" fillId="0" borderId="43" xfId="0" applyFont="1" applyBorder="1" applyAlignment="1">
      <alignment horizontal="center"/>
    </xf>
    <xf numFmtId="0" fontId="66" fillId="0" borderId="44" xfId="0" applyFont="1" applyBorder="1" applyAlignment="1">
      <alignment horizontal="center"/>
    </xf>
    <xf numFmtId="0" fontId="66" fillId="0" borderId="58" xfId="0" applyFont="1" applyBorder="1" applyAlignment="1">
      <alignment horizontal="center"/>
    </xf>
    <xf numFmtId="0" fontId="66" fillId="0" borderId="43" xfId="0" applyFont="1" applyBorder="1" applyAlignment="1">
      <alignment horizontal="center"/>
    </xf>
    <xf numFmtId="0" fontId="66" fillId="0" borderId="49" xfId="0" applyFont="1" applyBorder="1" applyAlignment="1">
      <alignment horizontal="center"/>
    </xf>
    <xf numFmtId="0" fontId="66" fillId="0" borderId="24" xfId="0" applyFont="1" applyBorder="1" applyAlignment="1">
      <alignment horizontal="left"/>
    </xf>
    <xf numFmtId="0" fontId="66" fillId="0" borderId="0" xfId="0" applyFont="1" applyBorder="1" applyAlignment="1">
      <alignment horizontal="left"/>
    </xf>
    <xf numFmtId="0" fontId="66" fillId="36" borderId="12" xfId="0" applyFont="1" applyFill="1" applyBorder="1" applyAlignment="1">
      <alignment horizontal="left"/>
    </xf>
    <xf numFmtId="0" fontId="67" fillId="0" borderId="1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51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66" fillId="0" borderId="71" xfId="0" applyFont="1" applyBorder="1" applyAlignment="1">
      <alignment horizontal="left"/>
    </xf>
    <xf numFmtId="0" fontId="66" fillId="0" borderId="57" xfId="0" applyFont="1" applyBorder="1" applyAlignment="1">
      <alignment horizontal="left"/>
    </xf>
    <xf numFmtId="0" fontId="66" fillId="36" borderId="53" xfId="0" applyFont="1" applyFill="1" applyBorder="1" applyAlignment="1">
      <alignment horizontal="left"/>
    </xf>
    <xf numFmtId="0" fontId="66" fillId="0" borderId="5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6"/>
  <sheetViews>
    <sheetView tabSelected="1" zoomScale="115" zoomScaleNormal="115" zoomScaleSheetLayoutView="100" zoomScalePageLayoutView="0" workbookViewId="0" topLeftCell="A1">
      <selection activeCell="T31" sqref="T31"/>
    </sheetView>
  </sheetViews>
  <sheetFormatPr defaultColWidth="9.140625" defaultRowHeight="12.75"/>
  <cols>
    <col min="1" max="1" width="7.8515625" style="0" customWidth="1"/>
    <col min="2" max="2" width="7.57421875" style="0" customWidth="1"/>
    <col min="3" max="3" width="7.57421875" style="122" customWidth="1"/>
    <col min="4" max="4" width="4.421875" style="0" customWidth="1"/>
    <col min="5" max="5" width="7.57421875" style="0" customWidth="1"/>
    <col min="6" max="6" width="7.421875" style="0" customWidth="1"/>
    <col min="7" max="7" width="5.8515625" style="0" customWidth="1"/>
    <col min="9" max="9" width="6.8515625" style="0" customWidth="1"/>
    <col min="10" max="10" width="5.140625" style="0" customWidth="1"/>
    <col min="11" max="11" width="7.140625" style="0" customWidth="1"/>
    <col min="12" max="12" width="11.00390625" style="0" customWidth="1"/>
    <col min="13" max="13" width="8.28125" style="0" customWidth="1"/>
    <col min="14" max="14" width="25.8515625" style="0" customWidth="1"/>
    <col min="15" max="15" width="8.57421875" style="0" hidden="1" customWidth="1"/>
    <col min="16" max="16" width="6.7109375" style="0" hidden="1" customWidth="1"/>
    <col min="17" max="17" width="7.421875" style="0" hidden="1" customWidth="1"/>
    <col min="18" max="18" width="9.140625" style="123" customWidth="1"/>
    <col min="20" max="20" width="12.7109375" style="0" customWidth="1"/>
  </cols>
  <sheetData>
    <row r="1" spans="1:15" ht="18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4"/>
      <c r="O1" s="1"/>
    </row>
    <row r="2" spans="1:18" s="3" customFormat="1" ht="12.75">
      <c r="A2" s="225" t="s">
        <v>1</v>
      </c>
      <c r="B2" s="226"/>
      <c r="C2" s="227"/>
      <c r="D2" s="228"/>
      <c r="E2" s="229"/>
      <c r="F2" s="229"/>
      <c r="G2" s="229"/>
      <c r="H2" s="229"/>
      <c r="I2" s="229"/>
      <c r="J2" s="230"/>
      <c r="K2" s="231" t="s">
        <v>2</v>
      </c>
      <c r="L2" s="231"/>
      <c r="M2" s="231" t="s">
        <v>3</v>
      </c>
      <c r="N2" s="232"/>
      <c r="O2" s="2"/>
      <c r="R2" s="124"/>
    </row>
    <row r="3" spans="1:15" ht="12.75">
      <c r="A3" s="233"/>
      <c r="B3" s="229"/>
      <c r="C3" s="229"/>
      <c r="D3" s="229"/>
      <c r="E3" s="229"/>
      <c r="F3" s="229"/>
      <c r="G3" s="229"/>
      <c r="H3" s="229"/>
      <c r="I3" s="229"/>
      <c r="J3" s="230"/>
      <c r="K3" s="234" t="s">
        <v>4</v>
      </c>
      <c r="L3" s="235"/>
      <c r="M3" s="236"/>
      <c r="N3" s="237"/>
      <c r="O3" s="1"/>
    </row>
    <row r="4" spans="1:15" ht="12.75">
      <c r="A4" s="225" t="s">
        <v>5</v>
      </c>
      <c r="B4" s="238"/>
      <c r="C4" s="239"/>
      <c r="D4" s="228"/>
      <c r="E4" s="229"/>
      <c r="F4" s="230"/>
      <c r="G4" s="234" t="s">
        <v>6</v>
      </c>
      <c r="H4" s="240"/>
      <c r="I4" s="240"/>
      <c r="J4" s="235"/>
      <c r="K4" s="241" t="s">
        <v>7</v>
      </c>
      <c r="L4" s="242"/>
      <c r="M4" s="228"/>
      <c r="N4" s="243"/>
      <c r="O4" s="1"/>
    </row>
    <row r="5" spans="1:15" ht="12.75">
      <c r="A5" s="244" t="s">
        <v>8</v>
      </c>
      <c r="B5" s="245"/>
      <c r="C5" s="246"/>
      <c r="D5" s="228"/>
      <c r="E5" s="229"/>
      <c r="F5" s="230"/>
      <c r="G5" s="247"/>
      <c r="H5" s="248"/>
      <c r="I5" s="248"/>
      <c r="J5" s="249"/>
      <c r="K5" s="250"/>
      <c r="L5" s="247" t="s">
        <v>9</v>
      </c>
      <c r="M5" s="248"/>
      <c r="N5" s="251"/>
      <c r="O5" s="1"/>
    </row>
    <row r="6" spans="1:15" ht="12.75">
      <c r="A6" s="252" t="s">
        <v>10</v>
      </c>
      <c r="B6" s="253"/>
      <c r="C6" s="254"/>
      <c r="D6" s="228"/>
      <c r="E6" s="229"/>
      <c r="F6" s="230"/>
      <c r="G6" s="255"/>
      <c r="H6" s="256"/>
      <c r="I6" s="256"/>
      <c r="J6" s="257"/>
      <c r="K6" s="258"/>
      <c r="L6" s="259" t="s">
        <v>95</v>
      </c>
      <c r="M6" s="259"/>
      <c r="N6" s="260"/>
      <c r="O6" s="1"/>
    </row>
    <row r="7" spans="1:17" ht="12.75">
      <c r="A7" s="244" t="s">
        <v>12</v>
      </c>
      <c r="B7" s="245"/>
      <c r="C7" s="246"/>
      <c r="D7" s="228"/>
      <c r="E7" s="229"/>
      <c r="F7" s="230"/>
      <c r="G7" s="261"/>
      <c r="H7" s="259"/>
      <c r="I7" s="259"/>
      <c r="J7" s="262"/>
      <c r="K7" s="258"/>
      <c r="L7" s="259"/>
      <c r="M7" s="259"/>
      <c r="N7" s="260"/>
      <c r="O7" s="5"/>
      <c r="P7" s="7"/>
      <c r="Q7" s="7"/>
    </row>
    <row r="8" spans="1:22" ht="12.75">
      <c r="A8" s="263" t="s">
        <v>13</v>
      </c>
      <c r="B8" s="264"/>
      <c r="C8" s="265"/>
      <c r="D8" s="228"/>
      <c r="E8" s="229"/>
      <c r="F8" s="230"/>
      <c r="G8" s="241"/>
      <c r="H8" s="266"/>
      <c r="I8" s="266"/>
      <c r="J8" s="242"/>
      <c r="K8" s="258"/>
      <c r="L8" s="259"/>
      <c r="M8" s="259"/>
      <c r="N8" s="260"/>
      <c r="O8" s="5"/>
      <c r="P8" s="7"/>
      <c r="Q8" s="7"/>
      <c r="T8" t="s">
        <v>142</v>
      </c>
      <c r="U8">
        <v>275</v>
      </c>
      <c r="V8" t="s">
        <v>165</v>
      </c>
    </row>
    <row r="9" spans="1:19" ht="12.75">
      <c r="A9" s="170"/>
      <c r="B9" s="168"/>
      <c r="C9" s="118"/>
      <c r="D9" s="166" t="s">
        <v>14</v>
      </c>
      <c r="E9" s="168"/>
      <c r="F9" s="167" t="s">
        <v>15</v>
      </c>
      <c r="G9" s="167"/>
      <c r="H9" s="166"/>
      <c r="I9" s="168"/>
      <c r="J9" s="166" t="s">
        <v>14</v>
      </c>
      <c r="K9" s="167"/>
      <c r="L9" s="168"/>
      <c r="M9" s="166" t="s">
        <v>15</v>
      </c>
      <c r="N9" s="169"/>
      <c r="O9" s="5"/>
      <c r="P9" s="7"/>
      <c r="Q9" s="7"/>
      <c r="S9" s="8"/>
    </row>
    <row r="10" spans="1:21" ht="12.75">
      <c r="A10" s="206" t="s">
        <v>16</v>
      </c>
      <c r="B10" s="207"/>
      <c r="C10" s="119"/>
      <c r="D10" s="208">
        <v>20</v>
      </c>
      <c r="E10" s="209"/>
      <c r="F10" s="167"/>
      <c r="G10" s="168"/>
      <c r="H10" s="208" t="s">
        <v>17</v>
      </c>
      <c r="I10" s="207"/>
      <c r="J10" s="210"/>
      <c r="K10" s="211"/>
      <c r="L10" s="211"/>
      <c r="M10" s="210">
        <f>CEILING(K112,5)</f>
        <v>170</v>
      </c>
      <c r="N10" s="212"/>
      <c r="O10" s="5"/>
      <c r="P10" s="7"/>
      <c r="Q10" s="7"/>
      <c r="T10" s="117">
        <f>M10*0.334553</f>
        <v>56.87401</v>
      </c>
      <c r="U10" s="115" t="s">
        <v>166</v>
      </c>
    </row>
    <row r="11" spans="1:17" ht="12.75">
      <c r="A11" s="196"/>
      <c r="B11" s="197"/>
      <c r="C11" s="128"/>
      <c r="D11" s="129"/>
      <c r="E11" s="130" t="s">
        <v>18</v>
      </c>
      <c r="F11" s="131"/>
      <c r="G11" s="130"/>
      <c r="H11" s="132" t="s">
        <v>19</v>
      </c>
      <c r="I11" s="128" t="s">
        <v>20</v>
      </c>
      <c r="J11" s="130" t="s">
        <v>21</v>
      </c>
      <c r="K11" s="130" t="s">
        <v>22</v>
      </c>
      <c r="L11" s="133" t="s">
        <v>23</v>
      </c>
      <c r="M11" s="196"/>
      <c r="N11" s="198"/>
      <c r="O11" s="5"/>
      <c r="P11" s="5"/>
      <c r="Q11" s="5"/>
    </row>
    <row r="12" spans="1:18" ht="12.75">
      <c r="A12" s="199" t="s">
        <v>24</v>
      </c>
      <c r="B12" s="200"/>
      <c r="C12" s="134"/>
      <c r="D12" s="131" t="s">
        <v>25</v>
      </c>
      <c r="E12" s="131" t="s">
        <v>26</v>
      </c>
      <c r="F12" s="131" t="s">
        <v>27</v>
      </c>
      <c r="G12" s="131" t="s">
        <v>28</v>
      </c>
      <c r="H12" s="135" t="s">
        <v>29</v>
      </c>
      <c r="I12" s="136" t="s">
        <v>30</v>
      </c>
      <c r="J12" s="131" t="s">
        <v>31</v>
      </c>
      <c r="K12" s="131" t="s">
        <v>32</v>
      </c>
      <c r="L12" s="137" t="s">
        <v>33</v>
      </c>
      <c r="M12" s="199" t="s">
        <v>34</v>
      </c>
      <c r="N12" s="201"/>
      <c r="O12" s="5"/>
      <c r="P12" s="5" t="s">
        <v>35</v>
      </c>
      <c r="Q12" s="5" t="s">
        <v>36</v>
      </c>
      <c r="R12" s="125" t="s">
        <v>121</v>
      </c>
    </row>
    <row r="13" spans="1:18" ht="12.75">
      <c r="A13" s="202" t="s">
        <v>37</v>
      </c>
      <c r="B13" s="203"/>
      <c r="C13" s="138"/>
      <c r="D13" s="139" t="s">
        <v>38</v>
      </c>
      <c r="E13" s="140" t="s">
        <v>39</v>
      </c>
      <c r="F13" s="141" t="s">
        <v>14</v>
      </c>
      <c r="G13" s="142" t="s">
        <v>40</v>
      </c>
      <c r="H13" s="143" t="s">
        <v>41</v>
      </c>
      <c r="I13" s="144" t="s">
        <v>42</v>
      </c>
      <c r="J13" s="145"/>
      <c r="K13" s="140" t="s">
        <v>43</v>
      </c>
      <c r="L13" s="140" t="s">
        <v>43</v>
      </c>
      <c r="M13" s="204"/>
      <c r="N13" s="205"/>
      <c r="O13" s="1"/>
      <c r="P13" s="9" t="s">
        <v>41</v>
      </c>
      <c r="Q13" s="10" t="s">
        <v>41</v>
      </c>
      <c r="R13" s="126" t="s">
        <v>136</v>
      </c>
    </row>
    <row r="14" spans="1:17" ht="12.75">
      <c r="A14" s="181" t="s">
        <v>168</v>
      </c>
      <c r="B14" s="182"/>
      <c r="C14" s="186" t="s">
        <v>178</v>
      </c>
      <c r="D14" s="11"/>
      <c r="E14" s="11"/>
      <c r="F14" s="12"/>
      <c r="G14" s="107">
        <f aca="true" t="shared" si="0" ref="G14:G19">IF((E14=""),"",(FluidVel(E14,F14)))</f>
      </c>
      <c r="H14" s="13">
        <f>IF((A14="90 R Bend"),(VLOOKUP(E14,Data!$A$2:$G$21,2)),IF((A14="Isolation Valve"),(VLOOKUP(E14,Data!$A$2:$G$21,3)),IF((A14="Non Return Valve"),(VLOOKUP(E14,Data!$A$2:$G$21,7)),IF((A14="Tee - Line"),(VLOOKUP(E14,Data!$A$2:$G$21,4)),IF((A14="Tee - Branch"),(VLOOKUP(E14,Data!$A$2:$G$21,5)),IF((A14="Reducer"),(VLOOKUP(E14,Data!$A$2:$G$21,6)),""))))))</f>
      </c>
      <c r="I14" s="74">
        <f aca="true" t="shared" si="1" ref="I14:I19">IF((E14=""),"",(PipePressureDrop(E14,F14))/1000)</f>
      </c>
      <c r="J14" s="14"/>
      <c r="K14" s="15">
        <f>IF(AND(I14="",H14=""),"",(J14*I14*H14))</f>
      </c>
      <c r="L14" s="16"/>
      <c r="M14" s="180"/>
      <c r="N14" s="185"/>
      <c r="O14" s="1"/>
      <c r="P14" s="17"/>
      <c r="Q14" s="6"/>
    </row>
    <row r="15" spans="1:18" ht="12.75">
      <c r="A15" s="176" t="s">
        <v>88</v>
      </c>
      <c r="B15" s="177"/>
      <c r="C15" s="187"/>
      <c r="D15" s="146" t="s">
        <v>11</v>
      </c>
      <c r="E15" s="146">
        <v>100</v>
      </c>
      <c r="F15" s="147">
        <f>R15*0.06309</f>
        <v>8.643329999999999</v>
      </c>
      <c r="G15" s="148">
        <f t="shared" si="0"/>
        <v>1.1458797454833984</v>
      </c>
      <c r="H15" s="149">
        <v>1.2</v>
      </c>
      <c r="I15" s="150">
        <f t="shared" si="1"/>
        <v>0.12940484619140624</v>
      </c>
      <c r="J15" s="151">
        <v>1</v>
      </c>
      <c r="K15" s="15">
        <f aca="true" t="shared" si="2" ref="K15:K20">IF(AND(I15="",H15=""),"",(J15*I15*H15))</f>
        <v>0.15528581542968747</v>
      </c>
      <c r="L15" s="16"/>
      <c r="M15" s="183" t="s">
        <v>169</v>
      </c>
      <c r="N15" s="184"/>
      <c r="O15" s="1"/>
      <c r="P15" s="17"/>
      <c r="Q15" s="6"/>
      <c r="R15" s="123">
        <v>137</v>
      </c>
    </row>
    <row r="16" spans="1:18" ht="12.75">
      <c r="A16" s="176" t="s">
        <v>53</v>
      </c>
      <c r="B16" s="177"/>
      <c r="C16" s="187"/>
      <c r="D16" s="146" t="s">
        <v>11</v>
      </c>
      <c r="E16" s="146">
        <v>100</v>
      </c>
      <c r="F16" s="147">
        <f>R16*0.06309</f>
        <v>8.643329999999999</v>
      </c>
      <c r="G16" s="148">
        <f t="shared" si="0"/>
        <v>1.1458797454833984</v>
      </c>
      <c r="H16" s="149">
        <f>IF((A16="90 R Bend"),(VLOOKUP(E16,Data!$A$2:$G$21,2)),IF((A16="Isolation Valve"),(VLOOKUP(E16,Data!$A$2:$G$21,3)),IF((A16="Non Return Valve"),(VLOOKUP(E16,Data!$A$2:$G$21,7)),IF((A16="Tee - Line"),(VLOOKUP(E16,Data!$A$2:$G$21,4)),IF((A16="Tee - Branch"),(VLOOKUP(E16,Data!$A$2:$G$21,5)),IF((A16="Reducer"),(VLOOKUP(E16,Data!$A$2:$G$21,6)),""))))))</f>
        <v>2.06</v>
      </c>
      <c r="I16" s="150">
        <f t="shared" si="1"/>
        <v>0.12940484619140624</v>
      </c>
      <c r="J16" s="151">
        <v>1</v>
      </c>
      <c r="K16" s="15">
        <f t="shared" si="2"/>
        <v>0.26657398315429687</v>
      </c>
      <c r="L16" s="16"/>
      <c r="M16" s="180" t="s">
        <v>137</v>
      </c>
      <c r="N16" s="185"/>
      <c r="O16" s="1"/>
      <c r="P16" s="17"/>
      <c r="Q16" s="6"/>
      <c r="R16" s="123">
        <v>137</v>
      </c>
    </row>
    <row r="17" spans="1:18" ht="12.75">
      <c r="A17" s="176" t="s">
        <v>88</v>
      </c>
      <c r="B17" s="177"/>
      <c r="C17" s="187"/>
      <c r="D17" s="146" t="s">
        <v>11</v>
      </c>
      <c r="E17" s="146">
        <v>100</v>
      </c>
      <c r="F17" s="147">
        <f>R17*0.06309</f>
        <v>8.643329999999999</v>
      </c>
      <c r="G17" s="148">
        <f t="shared" si="0"/>
        <v>1.1458797454833984</v>
      </c>
      <c r="H17" s="149">
        <v>0.5</v>
      </c>
      <c r="I17" s="150">
        <f t="shared" si="1"/>
        <v>0.12940484619140624</v>
      </c>
      <c r="J17" s="151">
        <v>1</v>
      </c>
      <c r="K17" s="15">
        <f t="shared" si="2"/>
        <v>0.06470242309570312</v>
      </c>
      <c r="L17" s="16"/>
      <c r="M17" s="183" t="s">
        <v>174</v>
      </c>
      <c r="N17" s="184"/>
      <c r="O17" s="1"/>
      <c r="P17" s="17"/>
      <c r="Q17" s="6"/>
      <c r="R17" s="123">
        <v>137</v>
      </c>
    </row>
    <row r="18" spans="1:18" ht="12.75">
      <c r="A18" s="176" t="s">
        <v>56</v>
      </c>
      <c r="B18" s="177"/>
      <c r="C18" s="187"/>
      <c r="D18" s="146" t="s">
        <v>11</v>
      </c>
      <c r="E18" s="146">
        <v>100</v>
      </c>
      <c r="F18" s="147">
        <f>R18*0.06309</f>
        <v>8.643329999999999</v>
      </c>
      <c r="G18" s="148">
        <f t="shared" si="0"/>
        <v>1.1458797454833984</v>
      </c>
      <c r="H18" s="149">
        <f>IF((A18="90 R Bend"),(VLOOKUP(E18,Data!$A$2:$G$21,2)),IF((A18="Isolation Valve"),(VLOOKUP(E18,Data!$A$2:$G$21,3)),IF((A18="Non Return Valve"),(VLOOKUP(E18,Data!$A$2:$G$21,7)),IF((A18="Tee - Line"),(VLOOKUP(E18,Data!$A$2:$G$21,4)),IF((A18="Tee - Branch"),(VLOOKUP(E18,Data!$A$2:$G$21,5)),IF((A18="Reducer"),(VLOOKUP(E18,Data!$A$2:$G$21,6)),""))))))</f>
        <v>2.44</v>
      </c>
      <c r="I18" s="150">
        <f t="shared" si="1"/>
        <v>0.12940484619140624</v>
      </c>
      <c r="J18" s="151">
        <v>1</v>
      </c>
      <c r="K18" s="15">
        <f t="shared" si="2"/>
        <v>0.3157478247070312</v>
      </c>
      <c r="L18" s="16"/>
      <c r="M18" s="180" t="s">
        <v>137</v>
      </c>
      <c r="N18" s="185"/>
      <c r="O18" s="1"/>
      <c r="P18" s="17"/>
      <c r="Q18" s="6"/>
      <c r="R18" s="123">
        <v>137</v>
      </c>
    </row>
    <row r="19" spans="1:18" ht="12.75">
      <c r="A19" s="176" t="s">
        <v>88</v>
      </c>
      <c r="B19" s="177"/>
      <c r="C19" s="188"/>
      <c r="D19" s="146" t="s">
        <v>11</v>
      </c>
      <c r="E19" s="146">
        <v>100</v>
      </c>
      <c r="F19" s="147">
        <f>R19*0.06309</f>
        <v>8.643329999999999</v>
      </c>
      <c r="G19" s="148">
        <f t="shared" si="0"/>
        <v>1.1458797454833984</v>
      </c>
      <c r="H19" s="149">
        <v>2</v>
      </c>
      <c r="I19" s="150">
        <f t="shared" si="1"/>
        <v>0.12940484619140624</v>
      </c>
      <c r="J19" s="151">
        <v>1</v>
      </c>
      <c r="K19" s="15">
        <f t="shared" si="2"/>
        <v>0.2588096923828125</v>
      </c>
      <c r="L19" s="16"/>
      <c r="M19" s="180" t="s">
        <v>138</v>
      </c>
      <c r="N19" s="185"/>
      <c r="O19" s="1"/>
      <c r="P19" s="17"/>
      <c r="Q19" s="6"/>
      <c r="R19" s="123">
        <v>137</v>
      </c>
    </row>
    <row r="20" spans="1:18" ht="12.75">
      <c r="A20" s="191" t="s">
        <v>110</v>
      </c>
      <c r="B20" s="192"/>
      <c r="C20" s="186" t="s">
        <v>177</v>
      </c>
      <c r="D20" s="152" t="s">
        <v>11</v>
      </c>
      <c r="E20" s="146">
        <v>100</v>
      </c>
      <c r="F20" s="147">
        <f aca="true" t="shared" si="3" ref="F20:F26">R20*0.06309</f>
        <v>8.643329999999999</v>
      </c>
      <c r="G20" s="148">
        <f aca="true" t="shared" si="4" ref="G20:G26">IF((E20=""),"",(FluidVel(E20,F20)))</f>
        <v>1.1458797454833984</v>
      </c>
      <c r="H20" s="149">
        <f>IF((A20="90 R Bend"),(VLOOKUP(E20,Data!$A$2:$G$21,2)),IF((A20="Isolation Valve"),(VLOOKUP(E20,Data!$A$2:$G$21,3)),IF((A20="Non Return Valve"),(VLOOKUP(E20,Data!$A$2:$G$21,7)),IF((A20="Tee - Line"),(VLOOKUP(E20,Data!$A$2:$G$21,4)),IF((A20="Tee - Branch"),(VLOOKUP(E20,Data!$A$2:$G$21,5)),IF((A20="Reducer"),(VLOOKUP(E20,Data!$A$2:$G$21,6)),""))))))</f>
        <v>1.37</v>
      </c>
      <c r="I20" s="150">
        <f aca="true" t="shared" si="5" ref="I20:I26">IF((E20=""),"",(PipePressureDrop(E20,F20))/1000)</f>
        <v>0.12940484619140624</v>
      </c>
      <c r="J20" s="151">
        <v>1</v>
      </c>
      <c r="K20" s="15">
        <f t="shared" si="2"/>
        <v>0.17728463928222657</v>
      </c>
      <c r="L20" s="16"/>
      <c r="M20" s="180" t="s">
        <v>139</v>
      </c>
      <c r="N20" s="185"/>
      <c r="O20" s="1"/>
      <c r="P20" s="17"/>
      <c r="Q20" s="6"/>
      <c r="R20" s="123">
        <v>137</v>
      </c>
    </row>
    <row r="21" spans="1:18" ht="12.75">
      <c r="A21" s="191" t="s">
        <v>90</v>
      </c>
      <c r="B21" s="192"/>
      <c r="C21" s="187"/>
      <c r="D21" s="152" t="s">
        <v>11</v>
      </c>
      <c r="E21" s="146">
        <v>100</v>
      </c>
      <c r="F21" s="147">
        <f t="shared" si="3"/>
        <v>8.643329999999999</v>
      </c>
      <c r="G21" s="148">
        <f t="shared" si="4"/>
        <v>1.1458797454833984</v>
      </c>
      <c r="H21" s="149">
        <f>IF((A21="90 R Bend"),(VLOOKUP(E21,Data!$A$2:$G$21,2)),IF((A21="Isolation Valve"),(VLOOKUP(E21,Data!$A$2:$G$21,3)),IF((A21="Non Return Valve"),(VLOOKUP(E21,Data!$A$2:$G$21,7)),IF((A21="Tee - Line"),(VLOOKUP(E21,Data!$A$2:$G$21,4)),IF((A21="Tee - Branch"),(VLOOKUP(E21,Data!$A$2:$G$21,5)),IF((A21="Reducer"),(VLOOKUP(E21,Data!$A$2:$G$21,6)),""))))))</f>
      </c>
      <c r="I21" s="150">
        <f t="shared" si="5"/>
        <v>0.12940484619140624</v>
      </c>
      <c r="J21" s="151">
        <v>1</v>
      </c>
      <c r="K21" s="116">
        <v>15</v>
      </c>
      <c r="L21" s="16"/>
      <c r="M21" s="180" t="s">
        <v>140</v>
      </c>
      <c r="N21" s="185"/>
      <c r="O21" s="1"/>
      <c r="P21" s="17"/>
      <c r="Q21" s="6"/>
      <c r="R21" s="123">
        <v>137</v>
      </c>
    </row>
    <row r="22" spans="1:18" ht="12.75">
      <c r="A22" s="191" t="s">
        <v>88</v>
      </c>
      <c r="B22" s="192"/>
      <c r="C22" s="187"/>
      <c r="D22" s="152" t="s">
        <v>11</v>
      </c>
      <c r="E22" s="146">
        <v>100</v>
      </c>
      <c r="F22" s="147">
        <f t="shared" si="3"/>
        <v>8.643329999999999</v>
      </c>
      <c r="G22" s="148">
        <f t="shared" si="4"/>
        <v>1.1458797454833984</v>
      </c>
      <c r="H22" s="149">
        <v>5</v>
      </c>
      <c r="I22" s="150">
        <f t="shared" si="5"/>
        <v>0.12940484619140624</v>
      </c>
      <c r="J22" s="151">
        <v>1</v>
      </c>
      <c r="K22" s="15">
        <f aca="true" t="shared" si="6" ref="K22:K33">IF(AND(I22="",H22=""),"",(J22*I22*H22))</f>
        <v>0.6470242309570312</v>
      </c>
      <c r="L22" s="16"/>
      <c r="M22" s="180" t="s">
        <v>141</v>
      </c>
      <c r="N22" s="185"/>
      <c r="O22" s="1"/>
      <c r="P22" s="17"/>
      <c r="Q22" s="6"/>
      <c r="R22" s="123">
        <v>137</v>
      </c>
    </row>
    <row r="23" spans="1:18" ht="12.75">
      <c r="A23" s="191" t="s">
        <v>54</v>
      </c>
      <c r="B23" s="192"/>
      <c r="C23" s="187"/>
      <c r="D23" s="152" t="s">
        <v>11</v>
      </c>
      <c r="E23" s="146">
        <v>100</v>
      </c>
      <c r="F23" s="147">
        <f t="shared" si="3"/>
        <v>8.643329999999999</v>
      </c>
      <c r="G23" s="148">
        <f t="shared" si="4"/>
        <v>1.1458797454833984</v>
      </c>
      <c r="H23" s="149">
        <f>IF((A23="90 R Bend"),(VLOOKUP(E23,Data!$A$2:$G$21,2)),IF((A23="Isolation Valve"),(VLOOKUP(E23,Data!$A$2:$G$21,3)),IF((A23="Non Return Valve"),(VLOOKUP(E23,Data!$A$2:$G$21,7)),IF((A23="Tee - Line"),(VLOOKUP(E23,Data!$A$2:$G$21,4)),IF((A23="Tee - Branch"),(VLOOKUP(E23,Data!$A$2:$G$21,5)),IF((A23="Reducer"),(VLOOKUP(E23,Data!$A$2:$G$21,6)),""))))))</f>
        <v>12.1</v>
      </c>
      <c r="I23" s="150">
        <f t="shared" si="5"/>
        <v>0.12940484619140624</v>
      </c>
      <c r="J23" s="151">
        <v>1</v>
      </c>
      <c r="K23" s="15">
        <f t="shared" si="6"/>
        <v>1.5657986389160155</v>
      </c>
      <c r="L23" s="16"/>
      <c r="M23" s="180" t="s">
        <v>143</v>
      </c>
      <c r="N23" s="185"/>
      <c r="O23" s="1"/>
      <c r="P23" s="17">
        <f>IF((G23&gt;0),((1.265*(((((G23/1000)*(H23/1000))^3)/((G23/1000)+(H23/1000)))^0.2))),(I23/1000))</f>
        <v>0.0036545087989545526</v>
      </c>
      <c r="Q23" s="6">
        <f>IF(P23&gt;0,(3.14159*((P23^2)/4)),"")</f>
        <v>1.0489324916122704E-05</v>
      </c>
      <c r="R23" s="123">
        <v>137</v>
      </c>
    </row>
    <row r="24" spans="1:18" ht="12.75">
      <c r="A24" s="191" t="s">
        <v>110</v>
      </c>
      <c r="B24" s="192"/>
      <c r="C24" s="188"/>
      <c r="D24" s="152" t="s">
        <v>11</v>
      </c>
      <c r="E24" s="146">
        <v>100</v>
      </c>
      <c r="F24" s="147">
        <f t="shared" si="3"/>
        <v>8.643329999999999</v>
      </c>
      <c r="G24" s="148">
        <f t="shared" si="4"/>
        <v>1.1458797454833984</v>
      </c>
      <c r="H24" s="149">
        <f>IF((A24="90 R Bend"),(VLOOKUP(E24,Data!$A$2:$G$21,2)),IF((A24="Isolation Valve"),(VLOOKUP(E24,Data!$A$2:$G$21,3)),IF((A24="Non Return Valve"),(VLOOKUP(E24,Data!$A$2:$G$21,7)),IF((A24="Tee - Line"),(VLOOKUP(E24,Data!$A$2:$G$21,4)),IF((A24="Tee - Branch"),(VLOOKUP(E24,Data!$A$2:$G$21,5)),IF((A24="Reducer"),(VLOOKUP(E24,Data!$A$2:$G$21,6)),""))))))</f>
        <v>1.37</v>
      </c>
      <c r="I24" s="150">
        <f t="shared" si="5"/>
        <v>0.12940484619140624</v>
      </c>
      <c r="J24" s="151">
        <v>1</v>
      </c>
      <c r="K24" s="15">
        <f t="shared" si="6"/>
        <v>0.17728463928222657</v>
      </c>
      <c r="L24" s="16"/>
      <c r="M24" s="180" t="s">
        <v>143</v>
      </c>
      <c r="N24" s="185"/>
      <c r="O24" s="1"/>
      <c r="P24" s="17">
        <f>IF((G24&gt;0),((1.265*(((((G24/1000)*(H24/1000))^3)/((G24/1000)+(H24/1000)))^0.2))),(I24/1000))</f>
        <v>0.0013786953658158512</v>
      </c>
      <c r="Q24" s="6">
        <f>IF(P24&gt;0,(3.14159*((P24^2)/4)),"")</f>
        <v>1.4928842840642609E-06</v>
      </c>
      <c r="R24" s="123">
        <v>137</v>
      </c>
    </row>
    <row r="25" spans="1:18" ht="12.75" customHeight="1">
      <c r="A25" s="176" t="s">
        <v>88</v>
      </c>
      <c r="B25" s="177"/>
      <c r="C25" s="193" t="s">
        <v>178</v>
      </c>
      <c r="D25" s="146" t="s">
        <v>11</v>
      </c>
      <c r="E25" s="146">
        <v>100</v>
      </c>
      <c r="F25" s="147">
        <f t="shared" si="3"/>
        <v>8.643329999999999</v>
      </c>
      <c r="G25" s="148">
        <f t="shared" si="4"/>
        <v>1.1458797454833984</v>
      </c>
      <c r="H25" s="149">
        <v>0.5</v>
      </c>
      <c r="I25" s="150">
        <f t="shared" si="5"/>
        <v>0.12940484619140624</v>
      </c>
      <c r="J25" s="151">
        <v>1</v>
      </c>
      <c r="K25" s="15">
        <f t="shared" si="6"/>
        <v>0.06470242309570312</v>
      </c>
      <c r="L25" s="16"/>
      <c r="M25" s="180" t="s">
        <v>144</v>
      </c>
      <c r="N25" s="185"/>
      <c r="O25" s="1"/>
      <c r="P25" s="17"/>
      <c r="Q25" s="6"/>
      <c r="R25" s="123">
        <v>137</v>
      </c>
    </row>
    <row r="26" spans="1:18" ht="12.75">
      <c r="A26" s="176" t="s">
        <v>53</v>
      </c>
      <c r="B26" s="177"/>
      <c r="C26" s="194"/>
      <c r="D26" s="146" t="s">
        <v>11</v>
      </c>
      <c r="E26" s="146">
        <v>100</v>
      </c>
      <c r="F26" s="147">
        <f t="shared" si="3"/>
        <v>8.643329999999999</v>
      </c>
      <c r="G26" s="148">
        <f t="shared" si="4"/>
        <v>1.1458797454833984</v>
      </c>
      <c r="H26" s="149">
        <f>IF((A26="90 R Bend"),(VLOOKUP(E26,Data!$A$2:$G$21,2)),IF((A26="Isolation Valve"),(VLOOKUP(E26,Data!$A$2:$G$21,3)),IF((A26="Non Return Valve"),(VLOOKUP(E26,Data!$A$2:$G$21,7)),IF((A26="Tee - Line"),(VLOOKUP(E26,Data!$A$2:$G$21,4)),IF((A26="Tee - Branch"),(VLOOKUP(E26,Data!$A$2:$G$21,5)),IF((A26="Reducer"),(VLOOKUP(E26,Data!$A$2:$G$21,6)),""))))))</f>
        <v>2.06</v>
      </c>
      <c r="I26" s="150">
        <f t="shared" si="5"/>
        <v>0.12940484619140624</v>
      </c>
      <c r="J26" s="151">
        <v>1</v>
      </c>
      <c r="K26" s="15">
        <f t="shared" si="6"/>
        <v>0.26657398315429687</v>
      </c>
      <c r="L26" s="16"/>
      <c r="M26" s="180" t="s">
        <v>137</v>
      </c>
      <c r="N26" s="185"/>
      <c r="O26" s="1"/>
      <c r="P26" s="17"/>
      <c r="Q26" s="6"/>
      <c r="R26" s="123">
        <v>137</v>
      </c>
    </row>
    <row r="27" spans="1:18" ht="12.75">
      <c r="A27" s="176" t="s">
        <v>88</v>
      </c>
      <c r="B27" s="177"/>
      <c r="C27" s="194"/>
      <c r="D27" s="146" t="s">
        <v>11</v>
      </c>
      <c r="E27" s="146">
        <v>100</v>
      </c>
      <c r="F27" s="147">
        <f aca="true" t="shared" si="7" ref="F27:F50">R27*0.06309</f>
        <v>8.643329999999999</v>
      </c>
      <c r="G27" s="148">
        <f aca="true" t="shared" si="8" ref="G27:G66">IF((E27=""),"",(FluidVel(E27,F27)))</f>
        <v>1.1458797454833984</v>
      </c>
      <c r="H27" s="149">
        <v>1</v>
      </c>
      <c r="I27" s="150">
        <f aca="true" t="shared" si="9" ref="I27:I66">IF((E27=""),"",(PipePressureDrop(E27,F27))/1000)</f>
        <v>0.12940484619140624</v>
      </c>
      <c r="J27" s="151">
        <v>1</v>
      </c>
      <c r="K27" s="15">
        <f t="shared" si="6"/>
        <v>0.12940484619140624</v>
      </c>
      <c r="L27" s="16"/>
      <c r="M27" s="183" t="s">
        <v>170</v>
      </c>
      <c r="N27" s="184"/>
      <c r="O27" s="1"/>
      <c r="P27" s="17"/>
      <c r="Q27" s="6"/>
      <c r="R27" s="123">
        <v>137</v>
      </c>
    </row>
    <row r="28" spans="1:18" ht="12.75">
      <c r="A28" s="176" t="s">
        <v>53</v>
      </c>
      <c r="B28" s="177"/>
      <c r="C28" s="194"/>
      <c r="D28" s="146" t="s">
        <v>11</v>
      </c>
      <c r="E28" s="146">
        <v>100</v>
      </c>
      <c r="F28" s="147">
        <f t="shared" si="7"/>
        <v>8.643329999999999</v>
      </c>
      <c r="G28" s="148">
        <f t="shared" si="8"/>
        <v>1.1458797454833984</v>
      </c>
      <c r="H28" s="149">
        <f>IF((A28="90 R Bend"),(VLOOKUP(E28,Data!$A$2:$G$21,2)),IF((A28="Isolation Valve"),(VLOOKUP(E28,Data!$A$2:$G$21,3)),IF((A28="Non Return Valve"),(VLOOKUP(E28,Data!$A$2:$G$21,7)),IF((A28="Tee - Line"),(VLOOKUP(E28,Data!$A$2:$G$21,4)),IF((A28="Tee - Branch"),(VLOOKUP(E28,Data!$A$2:$G$21,5)),IF((A28="Reducer"),(VLOOKUP(E28,Data!$A$2:$G$21,6)),""))))))</f>
        <v>2.06</v>
      </c>
      <c r="I28" s="150">
        <f t="shared" si="9"/>
        <v>0.12940484619140624</v>
      </c>
      <c r="J28" s="151">
        <v>1</v>
      </c>
      <c r="K28" s="15">
        <f t="shared" si="6"/>
        <v>0.26657398315429687</v>
      </c>
      <c r="L28" s="16"/>
      <c r="M28" s="180" t="s">
        <v>137</v>
      </c>
      <c r="N28" s="185"/>
      <c r="O28" s="1"/>
      <c r="P28" s="17"/>
      <c r="Q28" s="6"/>
      <c r="R28" s="123">
        <v>137</v>
      </c>
    </row>
    <row r="29" spans="1:18" ht="12.75">
      <c r="A29" s="176" t="s">
        <v>88</v>
      </c>
      <c r="B29" s="177"/>
      <c r="C29" s="194"/>
      <c r="D29" s="146" t="s">
        <v>11</v>
      </c>
      <c r="E29" s="146">
        <v>100</v>
      </c>
      <c r="F29" s="147">
        <f t="shared" si="7"/>
        <v>8.643329999999999</v>
      </c>
      <c r="G29" s="148">
        <f t="shared" si="8"/>
        <v>1.1458797454833984</v>
      </c>
      <c r="H29" s="149">
        <v>0.5</v>
      </c>
      <c r="I29" s="150">
        <f t="shared" si="9"/>
        <v>0.12940484619140624</v>
      </c>
      <c r="J29" s="151">
        <v>1</v>
      </c>
      <c r="K29" s="15">
        <f t="shared" si="6"/>
        <v>0.06470242309570312</v>
      </c>
      <c r="L29" s="16"/>
      <c r="M29" s="183" t="s">
        <v>171</v>
      </c>
      <c r="N29" s="184"/>
      <c r="O29" s="1"/>
      <c r="P29" s="17"/>
      <c r="Q29" s="6"/>
      <c r="R29" s="123">
        <v>137</v>
      </c>
    </row>
    <row r="30" spans="1:18" ht="12.75">
      <c r="A30" s="176" t="s">
        <v>55</v>
      </c>
      <c r="B30" s="177"/>
      <c r="C30" s="194"/>
      <c r="D30" s="146" t="s">
        <v>11</v>
      </c>
      <c r="E30" s="146">
        <v>100</v>
      </c>
      <c r="F30" s="147">
        <f t="shared" si="7"/>
        <v>8.643329999999999</v>
      </c>
      <c r="G30" s="148">
        <f t="shared" si="8"/>
        <v>1.1458797454833984</v>
      </c>
      <c r="H30" s="149">
        <f>IF((A30="90 R Bend"),(VLOOKUP(E30,Data!$A$2:$G$21,2)),IF((A30="Isolation Valve"),(VLOOKUP(E30,Data!$A$2:$G$21,3)),IF((A30="Non Return Valve"),(VLOOKUP(E30,Data!$A$2:$G$21,7)),IF((A30="Tee - Line"),(VLOOKUP(E30,Data!$A$2:$G$21,4)),IF((A30="Tee - Branch"),(VLOOKUP(E30,Data!$A$2:$G$21,5)),IF((A30="Reducer"),(VLOOKUP(E30,Data!$A$2:$G$21,6)),""))))))</f>
        <v>6.4</v>
      </c>
      <c r="I30" s="150">
        <f t="shared" si="9"/>
        <v>0.12940484619140624</v>
      </c>
      <c r="J30" s="151">
        <v>1</v>
      </c>
      <c r="K30" s="15">
        <f t="shared" si="6"/>
        <v>0.828191015625</v>
      </c>
      <c r="L30" s="16"/>
      <c r="M30" s="183" t="s">
        <v>172</v>
      </c>
      <c r="N30" s="185"/>
      <c r="O30" s="1"/>
      <c r="P30" s="17"/>
      <c r="Q30" s="6"/>
      <c r="R30" s="123">
        <v>137</v>
      </c>
    </row>
    <row r="31" spans="1:18" ht="12.75">
      <c r="A31" s="176" t="s">
        <v>88</v>
      </c>
      <c r="B31" s="177"/>
      <c r="C31" s="194"/>
      <c r="D31" s="146" t="s">
        <v>11</v>
      </c>
      <c r="E31" s="146">
        <v>100</v>
      </c>
      <c r="F31" s="147">
        <f t="shared" si="7"/>
        <v>8.643329999999999</v>
      </c>
      <c r="G31" s="148">
        <f t="shared" si="8"/>
        <v>1.1458797454833984</v>
      </c>
      <c r="H31" s="149">
        <v>0.5</v>
      </c>
      <c r="I31" s="150">
        <f t="shared" si="9"/>
        <v>0.12940484619140624</v>
      </c>
      <c r="J31" s="151">
        <v>1</v>
      </c>
      <c r="K31" s="15">
        <f t="shared" si="6"/>
        <v>0.06470242309570312</v>
      </c>
      <c r="L31" s="16"/>
      <c r="M31" s="183" t="s">
        <v>173</v>
      </c>
      <c r="N31" s="184"/>
      <c r="O31" s="1"/>
      <c r="P31" s="17"/>
      <c r="Q31" s="6"/>
      <c r="R31" s="123">
        <v>137</v>
      </c>
    </row>
    <row r="32" spans="1:18" ht="12.75">
      <c r="A32" s="176" t="s">
        <v>53</v>
      </c>
      <c r="B32" s="177"/>
      <c r="C32" s="194"/>
      <c r="D32" s="146" t="s">
        <v>11</v>
      </c>
      <c r="E32" s="146">
        <v>100</v>
      </c>
      <c r="F32" s="147">
        <f t="shared" si="7"/>
        <v>8.643329999999999</v>
      </c>
      <c r="G32" s="148">
        <f t="shared" si="8"/>
        <v>1.1458797454833984</v>
      </c>
      <c r="H32" s="149">
        <f>IF((A32="90 R Bend"),(VLOOKUP(E32,Data!$A$2:$G$21,2)),IF((A32="Isolation Valve"),(VLOOKUP(E32,Data!$A$2:$G$21,3)),IF((A32="Non Return Valve"),(VLOOKUP(E32,Data!$A$2:$G$21,7)),IF((A32="Tee - Line"),(VLOOKUP(E32,Data!$A$2:$G$21,4)),IF((A32="Tee - Branch"),(VLOOKUP(E32,Data!$A$2:$G$21,5)),IF((A32="Reducer"),(VLOOKUP(E32,Data!$A$2:$G$21,6)),""))))))</f>
        <v>2.06</v>
      </c>
      <c r="I32" s="150">
        <f t="shared" si="9"/>
        <v>0.12940484619140624</v>
      </c>
      <c r="J32" s="151">
        <v>1</v>
      </c>
      <c r="K32" s="15">
        <f t="shared" si="6"/>
        <v>0.26657398315429687</v>
      </c>
      <c r="L32" s="16"/>
      <c r="M32" s="183" t="s">
        <v>137</v>
      </c>
      <c r="N32" s="185"/>
      <c r="O32" s="1"/>
      <c r="P32" s="17"/>
      <c r="Q32" s="6"/>
      <c r="R32" s="123">
        <v>137</v>
      </c>
    </row>
    <row r="33" spans="1:18" ht="12.75">
      <c r="A33" s="176" t="s">
        <v>88</v>
      </c>
      <c r="B33" s="177"/>
      <c r="C33" s="194"/>
      <c r="D33" s="146" t="s">
        <v>11</v>
      </c>
      <c r="E33" s="146">
        <v>100</v>
      </c>
      <c r="F33" s="147">
        <f t="shared" si="7"/>
        <v>8.643329999999999</v>
      </c>
      <c r="G33" s="148">
        <f t="shared" si="8"/>
        <v>1.1458797454833984</v>
      </c>
      <c r="H33" s="149">
        <v>0.5</v>
      </c>
      <c r="I33" s="150">
        <f t="shared" si="9"/>
        <v>0.12940484619140624</v>
      </c>
      <c r="J33" s="151">
        <v>1</v>
      </c>
      <c r="K33" s="15">
        <f t="shared" si="6"/>
        <v>0.06470242309570312</v>
      </c>
      <c r="L33" s="16"/>
      <c r="M33" s="183" t="s">
        <v>174</v>
      </c>
      <c r="N33" s="184"/>
      <c r="O33" s="1"/>
      <c r="P33" s="17"/>
      <c r="Q33" s="6"/>
      <c r="R33" s="123">
        <v>137</v>
      </c>
    </row>
    <row r="34" spans="1:18" ht="12.75">
      <c r="A34" s="176" t="s">
        <v>162</v>
      </c>
      <c r="B34" s="177"/>
      <c r="C34" s="194"/>
      <c r="D34" s="146" t="s">
        <v>11</v>
      </c>
      <c r="E34" s="146">
        <v>100</v>
      </c>
      <c r="F34" s="147">
        <f t="shared" si="7"/>
        <v>8.643329999999999</v>
      </c>
      <c r="G34" s="148">
        <f t="shared" si="8"/>
        <v>1.1458797454833984</v>
      </c>
      <c r="H34" s="149">
        <f>IF((A34="90 R Bend"),(VLOOKUP(E34,Data!$A$2:$G$21,2)),IF((A34="Isolation Valve"),(VLOOKUP(E34,Data!$A$2:$G$21,3)),IF((A34="Non Return Valve"),(VLOOKUP(E34,Data!$A$2:$G$21,7)),IF((A34="Tee - Line"),(VLOOKUP(E34,Data!$A$2:$G$21,4)),IF((A34="Tee - Branch"),(VLOOKUP(E34,Data!$A$2:$G$21,5)),IF((A34="Reducer"),(VLOOKUP(E34,Data!$A$2:$G$21,6)),""))))))</f>
      </c>
      <c r="I34" s="150">
        <f t="shared" si="9"/>
        <v>0.12940484619140624</v>
      </c>
      <c r="J34" s="151">
        <v>1</v>
      </c>
      <c r="K34" s="116">
        <v>5</v>
      </c>
      <c r="L34" s="16"/>
      <c r="M34" s="180" t="s">
        <v>161</v>
      </c>
      <c r="N34" s="185"/>
      <c r="O34" s="1"/>
      <c r="P34" s="17"/>
      <c r="Q34" s="6"/>
      <c r="R34" s="123">
        <v>137</v>
      </c>
    </row>
    <row r="35" spans="1:18" ht="12.75">
      <c r="A35" s="176" t="s">
        <v>88</v>
      </c>
      <c r="B35" s="177"/>
      <c r="C35" s="194"/>
      <c r="D35" s="146" t="s">
        <v>11</v>
      </c>
      <c r="E35" s="146">
        <v>100</v>
      </c>
      <c r="F35" s="147">
        <f t="shared" si="7"/>
        <v>8.643329999999999</v>
      </c>
      <c r="G35" s="148">
        <f t="shared" si="8"/>
        <v>1.1458797454833984</v>
      </c>
      <c r="H35" s="149">
        <v>3.3</v>
      </c>
      <c r="I35" s="150">
        <f t="shared" si="9"/>
        <v>0.12940484619140624</v>
      </c>
      <c r="J35" s="151">
        <v>1</v>
      </c>
      <c r="K35" s="15">
        <f aca="true" t="shared" si="10" ref="K35:K43">IF(AND(I35="",H35=""),"",(J35*I35*H35))</f>
        <v>0.4270359924316406</v>
      </c>
      <c r="L35" s="16"/>
      <c r="M35" s="183" t="s">
        <v>167</v>
      </c>
      <c r="N35" s="184"/>
      <c r="O35" s="1"/>
      <c r="P35" s="17"/>
      <c r="Q35" s="6"/>
      <c r="R35" s="123">
        <v>137</v>
      </c>
    </row>
    <row r="36" spans="1:18" ht="12.75">
      <c r="A36" s="176" t="s">
        <v>55</v>
      </c>
      <c r="B36" s="177"/>
      <c r="C36" s="195"/>
      <c r="D36" s="146" t="s">
        <v>11</v>
      </c>
      <c r="E36" s="146">
        <v>100</v>
      </c>
      <c r="F36" s="147">
        <f t="shared" si="7"/>
        <v>8.643329999999999</v>
      </c>
      <c r="G36" s="148">
        <f t="shared" si="8"/>
        <v>1.1458797454833984</v>
      </c>
      <c r="H36" s="149">
        <f>IF((A36="90 R Bend"),(VLOOKUP(E36,Data!$A$2:$G$21,2)),IF((A36="Isolation Valve"),(VLOOKUP(E36,Data!$A$2:$G$21,3)),IF((A36="Non Return Valve"),(VLOOKUP(E36,Data!$A$2:$G$21,7)),IF((A36="Tee - Line"),(VLOOKUP(E36,Data!$A$2:$G$21,4)),IF((A36="Tee - Branch"),(VLOOKUP(E36,Data!$A$2:$G$21,5)),IF((A36="Reducer"),(VLOOKUP(E36,Data!$A$2:$G$21,6)),""))))))</f>
        <v>6.4</v>
      </c>
      <c r="I36" s="150">
        <f t="shared" si="9"/>
        <v>0.12940484619140624</v>
      </c>
      <c r="J36" s="151">
        <v>1</v>
      </c>
      <c r="K36" s="15">
        <f t="shared" si="10"/>
        <v>0.828191015625</v>
      </c>
      <c r="L36" s="16"/>
      <c r="M36" s="183" t="s">
        <v>172</v>
      </c>
      <c r="N36" s="185"/>
      <c r="O36" s="1"/>
      <c r="P36" s="17"/>
      <c r="Q36" s="6"/>
      <c r="R36" s="123">
        <v>137</v>
      </c>
    </row>
    <row r="37" spans="1:18" ht="12.75">
      <c r="A37" s="176" t="s">
        <v>88</v>
      </c>
      <c r="B37" s="177"/>
      <c r="C37" s="186" t="s">
        <v>182</v>
      </c>
      <c r="D37" s="146" t="s">
        <v>11</v>
      </c>
      <c r="E37" s="146">
        <v>100</v>
      </c>
      <c r="F37" s="147">
        <f t="shared" si="7"/>
        <v>14.88924</v>
      </c>
      <c r="G37" s="148">
        <f t="shared" si="8"/>
        <v>1.9739243984222412</v>
      </c>
      <c r="H37" s="149">
        <v>3.4</v>
      </c>
      <c r="I37" s="150">
        <f t="shared" si="9"/>
        <v>0.3543048706054687</v>
      </c>
      <c r="J37" s="151">
        <v>1</v>
      </c>
      <c r="K37" s="15">
        <f t="shared" si="10"/>
        <v>1.2046365600585935</v>
      </c>
      <c r="L37" s="16"/>
      <c r="M37" s="183" t="s">
        <v>175</v>
      </c>
      <c r="N37" s="185"/>
      <c r="O37" s="1"/>
      <c r="P37" s="17"/>
      <c r="Q37" s="6"/>
      <c r="R37" s="123">
        <v>236</v>
      </c>
    </row>
    <row r="38" spans="1:18" ht="12.75">
      <c r="A38" s="176" t="s">
        <v>53</v>
      </c>
      <c r="B38" s="177"/>
      <c r="C38" s="187"/>
      <c r="D38" s="146" t="s">
        <v>11</v>
      </c>
      <c r="E38" s="146">
        <v>100</v>
      </c>
      <c r="F38" s="147">
        <f t="shared" si="7"/>
        <v>14.88924</v>
      </c>
      <c r="G38" s="148">
        <f t="shared" si="8"/>
        <v>1.9739243984222412</v>
      </c>
      <c r="H38" s="149">
        <f>IF((A38="90 R Bend"),(VLOOKUP(E38,Data!$A$2:$G$21,2)),IF((A38="Isolation Valve"),(VLOOKUP(E38,Data!$A$2:$G$21,3)),IF((A38="Non Return Valve"),(VLOOKUP(E38,Data!$A$2:$G$21,7)),IF((A38="Tee - Line"),(VLOOKUP(E38,Data!$A$2:$G$21,4)),IF((A38="Tee - Branch"),(VLOOKUP(E38,Data!$A$2:$G$21,5)),IF((A38="Reducer"),(VLOOKUP(E38,Data!$A$2:$G$21,6)),""))))))</f>
        <v>2.06</v>
      </c>
      <c r="I38" s="150">
        <f t="shared" si="9"/>
        <v>0.3543048706054687</v>
      </c>
      <c r="J38" s="151">
        <v>1</v>
      </c>
      <c r="K38" s="15">
        <f t="shared" si="10"/>
        <v>0.7298680334472656</v>
      </c>
      <c r="L38" s="16"/>
      <c r="M38" s="183" t="s">
        <v>179</v>
      </c>
      <c r="N38" s="185"/>
      <c r="O38" s="1"/>
      <c r="P38" s="17"/>
      <c r="Q38" s="6"/>
      <c r="R38" s="123">
        <v>236</v>
      </c>
    </row>
    <row r="39" spans="1:18" ht="12.75">
      <c r="A39" s="176" t="s">
        <v>88</v>
      </c>
      <c r="B39" s="177"/>
      <c r="C39" s="187"/>
      <c r="D39" s="146" t="s">
        <v>11</v>
      </c>
      <c r="E39" s="146">
        <v>100</v>
      </c>
      <c r="F39" s="147">
        <f t="shared" si="7"/>
        <v>14.88924</v>
      </c>
      <c r="G39" s="148">
        <f t="shared" si="8"/>
        <v>1.9739243984222412</v>
      </c>
      <c r="H39" s="149">
        <v>3.4</v>
      </c>
      <c r="I39" s="150">
        <f t="shared" si="9"/>
        <v>0.3543048706054687</v>
      </c>
      <c r="J39" s="151">
        <v>1</v>
      </c>
      <c r="K39" s="15">
        <f t="shared" si="10"/>
        <v>1.2046365600585935</v>
      </c>
      <c r="L39" s="16"/>
      <c r="M39" s="183" t="s">
        <v>181</v>
      </c>
      <c r="N39" s="185"/>
      <c r="O39" s="1"/>
      <c r="P39" s="17"/>
      <c r="Q39" s="6"/>
      <c r="R39" s="123">
        <v>236</v>
      </c>
    </row>
    <row r="40" spans="1:18" ht="12.75">
      <c r="A40" s="176" t="s">
        <v>53</v>
      </c>
      <c r="B40" s="177"/>
      <c r="C40" s="187"/>
      <c r="D40" s="146" t="s">
        <v>11</v>
      </c>
      <c r="E40" s="146">
        <v>100</v>
      </c>
      <c r="F40" s="147">
        <f t="shared" si="7"/>
        <v>14.88924</v>
      </c>
      <c r="G40" s="148">
        <f t="shared" si="8"/>
        <v>1.9739243984222412</v>
      </c>
      <c r="H40" s="149">
        <f>IF((A40="90 R Bend"),(VLOOKUP(E40,Data!$A$2:$G$21,2)),IF((A40="Isolation Valve"),(VLOOKUP(E40,Data!$A$2:$G$21,3)),IF((A40="Non Return Valve"),(VLOOKUP(E40,Data!$A$2:$G$21,7)),IF((A40="Tee - Line"),(VLOOKUP(E40,Data!$A$2:$G$21,4)),IF((A40="Tee - Branch"),(VLOOKUP(E40,Data!$A$2:$G$21,5)),IF((A40="Reducer"),(VLOOKUP(E40,Data!$A$2:$G$21,6)),""))))))</f>
        <v>2.06</v>
      </c>
      <c r="I40" s="150">
        <f t="shared" si="9"/>
        <v>0.3543048706054687</v>
      </c>
      <c r="J40" s="151">
        <v>1</v>
      </c>
      <c r="K40" s="15">
        <f t="shared" si="10"/>
        <v>0.7298680334472656</v>
      </c>
      <c r="L40" s="16"/>
      <c r="M40" s="183" t="s">
        <v>180</v>
      </c>
      <c r="N40" s="185"/>
      <c r="O40" s="1"/>
      <c r="P40" s="17"/>
      <c r="Q40" s="6"/>
      <c r="R40" s="123">
        <v>236</v>
      </c>
    </row>
    <row r="41" spans="1:18" ht="12.75">
      <c r="A41" s="176" t="s">
        <v>88</v>
      </c>
      <c r="B41" s="177"/>
      <c r="C41" s="187"/>
      <c r="D41" s="146" t="s">
        <v>11</v>
      </c>
      <c r="E41" s="146">
        <v>100</v>
      </c>
      <c r="F41" s="147">
        <f t="shared" si="7"/>
        <v>14.88924</v>
      </c>
      <c r="G41" s="148">
        <f t="shared" si="8"/>
        <v>1.9739243984222412</v>
      </c>
      <c r="H41" s="149">
        <v>7</v>
      </c>
      <c r="I41" s="150">
        <f t="shared" si="9"/>
        <v>0.3543048706054687</v>
      </c>
      <c r="J41" s="151">
        <v>1</v>
      </c>
      <c r="K41" s="15">
        <f t="shared" si="10"/>
        <v>2.4801340942382812</v>
      </c>
      <c r="L41" s="16"/>
      <c r="M41" s="183" t="s">
        <v>175</v>
      </c>
      <c r="N41" s="185"/>
      <c r="O41" s="1"/>
      <c r="P41" s="17"/>
      <c r="Q41" s="6"/>
      <c r="R41" s="123">
        <v>236</v>
      </c>
    </row>
    <row r="42" spans="1:18" ht="12.75">
      <c r="A42" s="176" t="s">
        <v>55</v>
      </c>
      <c r="B42" s="177"/>
      <c r="C42" s="187"/>
      <c r="D42" s="146" t="s">
        <v>11</v>
      </c>
      <c r="E42" s="146">
        <v>100</v>
      </c>
      <c r="F42" s="147">
        <f t="shared" si="7"/>
        <v>14.88924</v>
      </c>
      <c r="G42" s="148">
        <f t="shared" si="8"/>
        <v>1.9739243984222412</v>
      </c>
      <c r="H42" s="149">
        <f>IF((A42="90 R Bend"),(VLOOKUP(E42,Data!$A$2:$G$21,2)),IF((A42="Isolation Valve"),(VLOOKUP(E42,Data!$A$2:$G$21,3)),IF((A42="Non Return Valve"),(VLOOKUP(E42,Data!$A$2:$G$21,7)),IF((A42="Tee - Line"),(VLOOKUP(E42,Data!$A$2:$G$21,4)),IF((A42="Tee - Branch"),(VLOOKUP(E42,Data!$A$2:$G$21,5)),IF((A42="Reducer"),(VLOOKUP(E42,Data!$A$2:$G$21,6)),""))))))</f>
        <v>6.4</v>
      </c>
      <c r="I42" s="150">
        <f t="shared" si="9"/>
        <v>0.3543048706054687</v>
      </c>
      <c r="J42" s="151">
        <v>1</v>
      </c>
      <c r="K42" s="15">
        <f t="shared" si="10"/>
        <v>2.267551171875</v>
      </c>
      <c r="L42" s="16"/>
      <c r="M42" s="183" t="s">
        <v>176</v>
      </c>
      <c r="N42" s="185"/>
      <c r="O42" s="1"/>
      <c r="P42" s="17"/>
      <c r="Q42" s="6"/>
      <c r="R42" s="123">
        <v>236</v>
      </c>
    </row>
    <row r="43" spans="1:18" ht="12.75">
      <c r="A43" s="176" t="s">
        <v>88</v>
      </c>
      <c r="B43" s="177"/>
      <c r="C43" s="187"/>
      <c r="D43" s="146" t="s">
        <v>11</v>
      </c>
      <c r="E43" s="146">
        <v>100</v>
      </c>
      <c r="F43" s="147">
        <f t="shared" si="7"/>
        <v>14.88924</v>
      </c>
      <c r="G43" s="148">
        <f t="shared" si="8"/>
        <v>1.9739243984222412</v>
      </c>
      <c r="H43" s="149">
        <v>5</v>
      </c>
      <c r="I43" s="150">
        <f t="shared" si="9"/>
        <v>0.3543048706054687</v>
      </c>
      <c r="J43" s="151">
        <v>1</v>
      </c>
      <c r="K43" s="15">
        <f t="shared" si="10"/>
        <v>1.7715243530273437</v>
      </c>
      <c r="L43" s="16"/>
      <c r="M43" s="180" t="s">
        <v>138</v>
      </c>
      <c r="N43" s="185"/>
      <c r="O43" s="1"/>
      <c r="P43" s="17"/>
      <c r="Q43" s="6"/>
      <c r="R43" s="123">
        <v>236</v>
      </c>
    </row>
    <row r="44" spans="1:18" ht="12.75">
      <c r="A44" s="176" t="s">
        <v>55</v>
      </c>
      <c r="B44" s="177"/>
      <c r="C44" s="188"/>
      <c r="D44" s="146" t="s">
        <v>11</v>
      </c>
      <c r="E44" s="146">
        <v>100</v>
      </c>
      <c r="F44" s="147">
        <f t="shared" si="7"/>
        <v>5.6781</v>
      </c>
      <c r="G44" s="148">
        <f t="shared" si="8"/>
        <v>0.7527677416801453</v>
      </c>
      <c r="H44" s="149">
        <f>IF((A44="90 R Bend"),(VLOOKUP(E44,Data!$A$2:$G$21,2)),IF((A44="Isolation Valve"),(VLOOKUP(E44,Data!$A$2:$G$21,3)),IF((A44="Non Return Valve"),(VLOOKUP(E44,Data!$A$2:$G$21,7)),IF((A44="Tee - Line"),(VLOOKUP(E44,Data!$A$2:$G$21,4)),IF((A44="Tee - Branch"),(VLOOKUP(E44,Data!$A$2:$G$21,5)),IF((A44="Reducer"),(VLOOKUP(E44,Data!$A$2:$G$21,6)),""))))))</f>
        <v>6.4</v>
      </c>
      <c r="I44" s="150">
        <f t="shared" si="9"/>
        <v>0.05942938232421875</v>
      </c>
      <c r="J44" s="151">
        <v>1</v>
      </c>
      <c r="K44" s="15">
        <f aca="true" t="shared" si="11" ref="K44:K65">IF(AND(I44="",H44=""),"",(J44*I44*H44))</f>
        <v>0.380348046875</v>
      </c>
      <c r="L44" s="16"/>
      <c r="M44" s="180" t="s">
        <v>144</v>
      </c>
      <c r="N44" s="185"/>
      <c r="O44" s="1"/>
      <c r="P44" s="17">
        <f aca="true" t="shared" si="12" ref="P44:P54">IF((G44&gt;0),((1.265*(((((G44/1000)*(H44/1000))^3)/((G44/1000)+(H44/1000)))^0.2))),(I44/1000))</f>
        <v>0.002192301521475741</v>
      </c>
      <c r="Q44" s="6">
        <f aca="true" t="shared" si="13" ref="Q44:Q54">IF(P44&gt;0,(3.14159*((P44^2)/4)),"")</f>
        <v>3.774766438355429E-06</v>
      </c>
      <c r="R44" s="123">
        <v>90</v>
      </c>
    </row>
    <row r="45" spans="1:18" ht="12.75">
      <c r="A45" s="176" t="s">
        <v>88</v>
      </c>
      <c r="B45" s="177"/>
      <c r="C45" s="186" t="s">
        <v>188</v>
      </c>
      <c r="D45" s="146" t="s">
        <v>11</v>
      </c>
      <c r="E45" s="146">
        <v>80</v>
      </c>
      <c r="F45" s="147">
        <f t="shared" si="7"/>
        <v>5.6781</v>
      </c>
      <c r="G45" s="148">
        <f t="shared" si="8"/>
        <v>1.3566488027572632</v>
      </c>
      <c r="H45" s="149">
        <v>3</v>
      </c>
      <c r="I45" s="150">
        <f t="shared" si="9"/>
        <v>0.2526475067138672</v>
      </c>
      <c r="J45" s="151">
        <v>2</v>
      </c>
      <c r="K45" s="15">
        <f t="shared" si="11"/>
        <v>1.5158850402832034</v>
      </c>
      <c r="L45" s="16"/>
      <c r="M45" s="189" t="s">
        <v>183</v>
      </c>
      <c r="N45" s="190"/>
      <c r="O45" s="1"/>
      <c r="P45" s="17">
        <f t="shared" si="12"/>
        <v>0.002187828268476391</v>
      </c>
      <c r="Q45" s="6">
        <f t="shared" si="13"/>
        <v>3.7593778084219634E-06</v>
      </c>
      <c r="R45" s="123">
        <v>90</v>
      </c>
    </row>
    <row r="46" spans="1:18" ht="12.75">
      <c r="A46" s="176" t="s">
        <v>53</v>
      </c>
      <c r="B46" s="177"/>
      <c r="C46" s="187"/>
      <c r="D46" s="146" t="s">
        <v>11</v>
      </c>
      <c r="E46" s="146">
        <v>80</v>
      </c>
      <c r="F46" s="147">
        <f t="shared" si="7"/>
        <v>5.6781</v>
      </c>
      <c r="G46" s="148">
        <f t="shared" si="8"/>
        <v>1.3566488027572632</v>
      </c>
      <c r="H46" s="149">
        <f>IF((A46="90 R Bend"),(VLOOKUP(E46,Data!$A$2:$G$21,2)),IF((A46="Isolation Valve"),(VLOOKUP(E46,Data!$A$2:$G$21,3)),IF((A46="Non Return Valve"),(VLOOKUP(E46,Data!$A$2:$G$21,7)),IF((A46="Tee - Line"),(VLOOKUP(E46,Data!$A$2:$G$21,4)),IF((A46="Tee - Branch"),(VLOOKUP(E46,Data!$A$2:$G$21,5)),IF((A46="Reducer"),(VLOOKUP(E46,Data!$A$2:$G$21,6)),""))))))</f>
        <v>1.52</v>
      </c>
      <c r="I46" s="150">
        <f t="shared" si="9"/>
        <v>0.2526475067138672</v>
      </c>
      <c r="J46" s="151">
        <v>2</v>
      </c>
      <c r="K46" s="15">
        <f t="shared" si="11"/>
        <v>0.7680484204101563</v>
      </c>
      <c r="L46" s="16"/>
      <c r="M46" s="183" t="s">
        <v>184</v>
      </c>
      <c r="N46" s="185"/>
      <c r="O46" s="1"/>
      <c r="P46" s="17">
        <f t="shared" si="12"/>
        <v>0.0015808831518043737</v>
      </c>
      <c r="Q46" s="6">
        <f t="shared" si="13"/>
        <v>1.9628587872692747E-06</v>
      </c>
      <c r="R46" s="123">
        <v>90</v>
      </c>
    </row>
    <row r="47" spans="1:18" ht="12.75">
      <c r="A47" s="176" t="s">
        <v>88</v>
      </c>
      <c r="B47" s="177"/>
      <c r="C47" s="187"/>
      <c r="D47" s="146" t="s">
        <v>11</v>
      </c>
      <c r="E47" s="146">
        <v>80</v>
      </c>
      <c r="F47" s="147">
        <f t="shared" si="7"/>
        <v>5.6781</v>
      </c>
      <c r="G47" s="148">
        <f t="shared" si="8"/>
        <v>1.3566488027572632</v>
      </c>
      <c r="H47" s="149">
        <v>7</v>
      </c>
      <c r="I47" s="150">
        <f t="shared" si="9"/>
        <v>0.2526475067138672</v>
      </c>
      <c r="J47" s="151">
        <v>2</v>
      </c>
      <c r="K47" s="15">
        <f t="shared" si="11"/>
        <v>3.537065093994141</v>
      </c>
      <c r="L47" s="16"/>
      <c r="M47" s="183" t="s">
        <v>185</v>
      </c>
      <c r="N47" s="185"/>
      <c r="O47" s="1"/>
      <c r="P47" s="17">
        <f t="shared" si="12"/>
        <v>0.003193179856014476</v>
      </c>
      <c r="Q47" s="6">
        <f t="shared" si="13"/>
        <v>8.008225178435614E-06</v>
      </c>
      <c r="R47" s="123">
        <v>90</v>
      </c>
    </row>
    <row r="48" spans="1:18" ht="12.75">
      <c r="A48" s="176" t="s">
        <v>110</v>
      </c>
      <c r="B48" s="177"/>
      <c r="C48" s="187"/>
      <c r="D48" s="146" t="s">
        <v>11</v>
      </c>
      <c r="E48" s="146">
        <v>80</v>
      </c>
      <c r="F48" s="147">
        <f t="shared" si="7"/>
        <v>5.6781</v>
      </c>
      <c r="G48" s="148">
        <f t="shared" si="8"/>
        <v>1.3566488027572632</v>
      </c>
      <c r="H48" s="149">
        <f>IF((A48="90 R Bend"),(VLOOKUP(E48,Data!$A$2:$G$21,2)),IF((A48="Isolation Valve"),(VLOOKUP(E48,Data!$A$2:$G$21,3)),IF((A48="Non Return Valve"),(VLOOKUP(E48,Data!$A$2:$G$21,7)),IF((A48="Tee - Line"),(VLOOKUP(E48,Data!$A$2:$G$21,4)),IF((A48="Tee - Branch"),(VLOOKUP(E48,Data!$A$2:$G$21,5)),IF((A48="Reducer"),(VLOOKUP(E48,Data!$A$2:$G$21,6)),""))))))</f>
        <v>0.97</v>
      </c>
      <c r="I48" s="150">
        <f t="shared" si="9"/>
        <v>0.2526475067138672</v>
      </c>
      <c r="J48" s="151">
        <v>2</v>
      </c>
      <c r="K48" s="15">
        <f t="shared" si="11"/>
        <v>0.49013616302490237</v>
      </c>
      <c r="L48" s="16"/>
      <c r="M48" s="183" t="s">
        <v>186</v>
      </c>
      <c r="N48" s="185"/>
      <c r="O48" s="1"/>
      <c r="P48" s="17">
        <f>IF((G48&gt;0),((1.265*(((((G48/1000)*(H48/1000))^3)/((G48/1000)+(H48/1000)))^0.2))),(I48/1000))</f>
        <v>0.0012597601347215815</v>
      </c>
      <c r="Q48" s="6">
        <f>IF(P48&gt;0,(3.14159*((P48^2)/4)),"")</f>
        <v>1.2464223744213045E-06</v>
      </c>
      <c r="R48" s="123">
        <v>90</v>
      </c>
    </row>
    <row r="49" spans="1:18" ht="12.75">
      <c r="A49" s="176" t="s">
        <v>88</v>
      </c>
      <c r="B49" s="177"/>
      <c r="C49" s="187"/>
      <c r="D49" s="146" t="s">
        <v>11</v>
      </c>
      <c r="E49" s="146">
        <v>80</v>
      </c>
      <c r="F49" s="147">
        <f t="shared" si="7"/>
        <v>5.6781</v>
      </c>
      <c r="G49" s="148">
        <f t="shared" si="8"/>
        <v>1.3566488027572632</v>
      </c>
      <c r="H49" s="149">
        <v>1</v>
      </c>
      <c r="I49" s="150">
        <f t="shared" si="9"/>
        <v>0.2526475067138672</v>
      </c>
      <c r="J49" s="151">
        <v>2</v>
      </c>
      <c r="K49" s="15">
        <f t="shared" si="11"/>
        <v>0.5052950134277344</v>
      </c>
      <c r="L49" s="16"/>
      <c r="M49" s="183" t="s">
        <v>185</v>
      </c>
      <c r="N49" s="185"/>
      <c r="O49" s="1"/>
      <c r="P49" s="17">
        <f>IF((G49&gt;0),((1.265*(((((G49/1000)*(H49/1000))^3)/((G49/1000)+(H49/1000)))^0.2))),(I49/1000))</f>
        <v>0.0012797113259415578</v>
      </c>
      <c r="Q49" s="6">
        <f>IF(P49&gt;0,(3.14159*((P49^2)/4)),"")</f>
        <v>1.2862149163067364E-06</v>
      </c>
      <c r="R49" s="123">
        <v>90</v>
      </c>
    </row>
    <row r="50" spans="1:21" ht="12.75">
      <c r="A50" s="176" t="s">
        <v>53</v>
      </c>
      <c r="B50" s="177"/>
      <c r="C50" s="188"/>
      <c r="D50" s="146" t="s">
        <v>11</v>
      </c>
      <c r="E50" s="146">
        <v>80</v>
      </c>
      <c r="F50" s="147">
        <f t="shared" si="7"/>
        <v>5.6781</v>
      </c>
      <c r="G50" s="148">
        <f t="shared" si="8"/>
        <v>1.3566488027572632</v>
      </c>
      <c r="H50" s="149">
        <f>IF((A50="90 R Bend"),(VLOOKUP(E50,Data!$A$2:$G$21,2)),IF((A50="Isolation Valve"),(VLOOKUP(E50,Data!$A$2:$G$21,3)),IF((A50="Non Return Valve"),(VLOOKUP(E50,Data!$A$2:$G$21,7)),IF((A50="Tee - Line"),(VLOOKUP(E50,Data!$A$2:$G$21,4)),IF((A50="Tee - Branch"),(VLOOKUP(E50,Data!$A$2:$G$21,5)),IF((A50="Reducer"),(VLOOKUP(E50,Data!$A$2:$G$21,6)),""))))))</f>
        <v>1.52</v>
      </c>
      <c r="I50" s="150">
        <f t="shared" si="9"/>
        <v>0.2526475067138672</v>
      </c>
      <c r="J50" s="151">
        <v>2</v>
      </c>
      <c r="K50" s="15">
        <f t="shared" si="11"/>
        <v>0.7680484204101563</v>
      </c>
      <c r="L50" s="16">
        <f>+SUM(K15:K50)</f>
        <v>45.252911403503404</v>
      </c>
      <c r="M50" s="183" t="s">
        <v>187</v>
      </c>
      <c r="N50" s="185"/>
      <c r="O50" s="1"/>
      <c r="P50" s="17">
        <f t="shared" si="12"/>
        <v>0.0015808831518043737</v>
      </c>
      <c r="Q50" s="6">
        <f t="shared" si="13"/>
        <v>1.9628587872692747E-06</v>
      </c>
      <c r="R50" s="123">
        <v>90</v>
      </c>
      <c r="T50" s="117">
        <f>L50*0.334553</f>
        <v>15.139497268776275</v>
      </c>
      <c r="U50" s="115" t="s">
        <v>166</v>
      </c>
    </row>
    <row r="51" spans="1:17" ht="12.75">
      <c r="A51" s="161"/>
      <c r="B51" s="162"/>
      <c r="C51" s="121"/>
      <c r="D51" s="11"/>
      <c r="E51" s="11"/>
      <c r="F51" s="12"/>
      <c r="G51" s="107">
        <f t="shared" si="8"/>
      </c>
      <c r="H51" s="13">
        <f>IF((A51="90 R Bend"),(VLOOKUP(E51,Data!$A$2:$G$21,2)),IF((A51="Isolation Valve"),(VLOOKUP(E51,Data!$A$2:$G$21,3)),IF((A51="Non Return Valve"),(VLOOKUP(E51,Data!$A$2:$G$21,7)),IF((A51="Tee - Line"),(VLOOKUP(E51,Data!$A$2:$G$21,4)),IF((A51="Tee - Branch"),(VLOOKUP(E51,Data!$A$2:$G$21,5)),IF((A51="Reducer"),(VLOOKUP(E51,Data!$A$2:$G$21,6)),""))))))</f>
      </c>
      <c r="I51" s="74">
        <f t="shared" si="9"/>
      </c>
      <c r="J51" s="14"/>
      <c r="K51" s="15">
        <f t="shared" si="11"/>
      </c>
      <c r="L51" s="16">
        <f>L50</f>
        <v>45.252911403503404</v>
      </c>
      <c r="M51" s="180"/>
      <c r="N51" s="185"/>
      <c r="O51" s="1"/>
      <c r="P51" s="17" t="e">
        <f t="shared" si="12"/>
        <v>#VALUE!</v>
      </c>
      <c r="Q51" s="6" t="e">
        <f t="shared" si="13"/>
        <v>#VALUE!</v>
      </c>
    </row>
    <row r="52" spans="1:17" ht="12.75">
      <c r="A52" s="181" t="s">
        <v>164</v>
      </c>
      <c r="B52" s="182"/>
      <c r="C52" s="120"/>
      <c r="D52" s="11"/>
      <c r="E52" s="11"/>
      <c r="F52" s="12"/>
      <c r="G52" s="107">
        <f t="shared" si="8"/>
      </c>
      <c r="H52" s="13">
        <f>IF((A52="90 R Bend"),(VLOOKUP(E52,Data!$A$2:$G$21,2)),IF((A52="Isolation Valve"),(VLOOKUP(E52,Data!$A$2:$G$21,3)),IF((A52="Non Return Valve"),(VLOOKUP(E52,Data!$A$2:$G$21,7)),IF((A52="Tee - Line"),(VLOOKUP(E52,Data!$A$2:$G$21,4)),IF((A52="Tee - Branch"),(VLOOKUP(E52,Data!$A$2:$G$21,5)),IF((A52="Reducer"),(VLOOKUP(E52,Data!$A$2:$G$21,6)),""))))))</f>
      </c>
      <c r="I52" s="74">
        <f t="shared" si="9"/>
      </c>
      <c r="J52" s="14"/>
      <c r="K52" s="15">
        <f t="shared" si="11"/>
      </c>
      <c r="L52" s="16"/>
      <c r="M52" s="180"/>
      <c r="N52" s="179"/>
      <c r="O52" s="1"/>
      <c r="P52" s="17" t="e">
        <f t="shared" si="12"/>
        <v>#VALUE!</v>
      </c>
      <c r="Q52" s="6" t="e">
        <f t="shared" si="13"/>
        <v>#VALUE!</v>
      </c>
    </row>
    <row r="53" spans="1:18" ht="12.75">
      <c r="A53" s="176" t="s">
        <v>88</v>
      </c>
      <c r="B53" s="177"/>
      <c r="C53" s="121"/>
      <c r="D53" s="11" t="s">
        <v>11</v>
      </c>
      <c r="E53" s="11">
        <v>80</v>
      </c>
      <c r="F53" s="12">
        <f aca="true" t="shared" si="14" ref="F53:F95">R53*0.06309</f>
        <v>5.6781</v>
      </c>
      <c r="G53" s="107">
        <f t="shared" si="8"/>
        <v>1.3566488027572632</v>
      </c>
      <c r="H53" s="13">
        <v>40</v>
      </c>
      <c r="I53" s="74">
        <f t="shared" si="9"/>
        <v>0.2526475067138672</v>
      </c>
      <c r="J53" s="14">
        <v>2</v>
      </c>
      <c r="K53" s="15">
        <f t="shared" si="11"/>
        <v>20.211800537109376</v>
      </c>
      <c r="L53" s="16"/>
      <c r="M53" s="180" t="s">
        <v>145</v>
      </c>
      <c r="N53" s="179"/>
      <c r="O53" s="1"/>
      <c r="P53" s="17">
        <f t="shared" si="12"/>
        <v>0.006599300642757895</v>
      </c>
      <c r="Q53" s="6">
        <f t="shared" si="13"/>
        <v>3.420466507486821E-05</v>
      </c>
      <c r="R53" s="123">
        <v>90</v>
      </c>
    </row>
    <row r="54" spans="1:18" ht="12.75">
      <c r="A54" s="176" t="s">
        <v>53</v>
      </c>
      <c r="B54" s="177"/>
      <c r="C54" s="121"/>
      <c r="D54" s="11" t="s">
        <v>11</v>
      </c>
      <c r="E54" s="11">
        <v>80</v>
      </c>
      <c r="F54" s="12">
        <f t="shared" si="14"/>
        <v>5.6781</v>
      </c>
      <c r="G54" s="107">
        <f t="shared" si="8"/>
        <v>1.3566488027572632</v>
      </c>
      <c r="H54" s="13">
        <f>IF((A54="90 R Bend"),(VLOOKUP(E54,Data!$A$2:$G$21,2)),IF((A54="Isolation Valve"),(VLOOKUP(E54,Data!$A$2:$G$21,3)),IF((A54="Non Return Valve"),(VLOOKUP(E54,Data!$A$2:$G$21,7)),IF((A54="Tee - Line"),(VLOOKUP(E54,Data!$A$2:$G$21,4)),IF((A54="Tee - Branch"),(VLOOKUP(E54,Data!$A$2:$G$21,5)),IF((A54="Reducer"),(VLOOKUP(E54,Data!$A$2:$G$21,6)),""))))))</f>
        <v>1.52</v>
      </c>
      <c r="I54" s="74">
        <f t="shared" si="9"/>
        <v>0.2526475067138672</v>
      </c>
      <c r="J54" s="14">
        <v>7</v>
      </c>
      <c r="K54" s="15">
        <f t="shared" si="11"/>
        <v>2.6881694714355473</v>
      </c>
      <c r="L54" s="16"/>
      <c r="M54" s="180" t="s">
        <v>146</v>
      </c>
      <c r="N54" s="179"/>
      <c r="O54" s="1"/>
      <c r="P54" s="17">
        <f t="shared" si="12"/>
        <v>0.0015808831518043737</v>
      </c>
      <c r="Q54" s="6">
        <f t="shared" si="13"/>
        <v>1.9628587872692747E-06</v>
      </c>
      <c r="R54" s="123">
        <v>90</v>
      </c>
    </row>
    <row r="55" spans="1:18" ht="12.75">
      <c r="A55" s="176" t="s">
        <v>110</v>
      </c>
      <c r="B55" s="177"/>
      <c r="C55" s="121"/>
      <c r="D55" s="11" t="s">
        <v>11</v>
      </c>
      <c r="E55" s="11">
        <v>80</v>
      </c>
      <c r="F55" s="12">
        <f t="shared" si="14"/>
        <v>5.6781</v>
      </c>
      <c r="G55" s="107">
        <f t="shared" si="8"/>
        <v>1.3566488027572632</v>
      </c>
      <c r="H55" s="13">
        <f>IF((A55="90 R Bend"),(VLOOKUP(E55,Data!$A$2:$G$21,2)),IF((A55="Isolation Valve"),(VLOOKUP(E55,Data!$A$2:$G$21,3)),IF((A55="Non Return Valve"),(VLOOKUP(E55,Data!$A$2:$G$21,7)),IF((A55="Tee - Line"),(VLOOKUP(E55,Data!$A$2:$G$21,4)),IF((A55="Tee - Branch"),(VLOOKUP(E55,Data!$A$2:$G$21,5)),IF((A55="Reducer"),(VLOOKUP(E55,Data!$A$2:$G$21,6)),""))))))</f>
        <v>0.97</v>
      </c>
      <c r="I55" s="74">
        <f t="shared" si="9"/>
        <v>0.2526475067138672</v>
      </c>
      <c r="J55" s="14">
        <v>2</v>
      </c>
      <c r="K55" s="15">
        <f t="shared" si="11"/>
        <v>0.49013616302490237</v>
      </c>
      <c r="L55" s="16"/>
      <c r="M55" s="180" t="s">
        <v>158</v>
      </c>
      <c r="N55" s="179"/>
      <c r="O55" s="1"/>
      <c r="P55" s="17"/>
      <c r="Q55" s="6"/>
      <c r="R55" s="123">
        <v>90</v>
      </c>
    </row>
    <row r="56" spans="1:18" ht="12.75">
      <c r="A56" s="176" t="s">
        <v>55</v>
      </c>
      <c r="B56" s="177"/>
      <c r="C56" s="121"/>
      <c r="D56" s="11" t="s">
        <v>11</v>
      </c>
      <c r="E56" s="11">
        <v>80</v>
      </c>
      <c r="F56" s="12">
        <f t="shared" si="14"/>
        <v>3.8819277</v>
      </c>
      <c r="G56" s="107">
        <f t="shared" si="8"/>
        <v>0.9274955987930298</v>
      </c>
      <c r="H56" s="13">
        <f>IF((A56="90 R Bend"),(VLOOKUP(E56,Data!$A$2:$G$21,2)),IF((A56="Isolation Valve"),(VLOOKUP(E56,Data!$A$2:$G$21,3)),IF((A56="Non Return Valve"),(VLOOKUP(E56,Data!$A$2:$G$21,7)),IF((A56="Tee - Line"),(VLOOKUP(E56,Data!$A$2:$G$21,4)),IF((A56="Tee - Branch"),(VLOOKUP(E56,Data!$A$2:$G$21,5)),IF((A56="Reducer"),(VLOOKUP(E56,Data!$A$2:$G$21,6)),""))))))</f>
        <v>4.57</v>
      </c>
      <c r="I56" s="74">
        <f t="shared" si="9"/>
        <v>0.12492427825927735</v>
      </c>
      <c r="J56" s="14">
        <v>2</v>
      </c>
      <c r="K56" s="15">
        <f t="shared" si="11"/>
        <v>1.141807903289795</v>
      </c>
      <c r="L56" s="16"/>
      <c r="M56" s="180" t="s">
        <v>147</v>
      </c>
      <c r="N56" s="179"/>
      <c r="O56" s="1"/>
      <c r="P56" s="17"/>
      <c r="Q56" s="6"/>
      <c r="R56" s="123">
        <v>61.53</v>
      </c>
    </row>
    <row r="57" spans="1:18" ht="12.75">
      <c r="A57" s="176" t="s">
        <v>56</v>
      </c>
      <c r="B57" s="177"/>
      <c r="C57" s="121"/>
      <c r="D57" s="11" t="s">
        <v>11</v>
      </c>
      <c r="E57" s="11">
        <v>80</v>
      </c>
      <c r="F57" s="12">
        <f>R57*0.06309</f>
        <v>0.25236</v>
      </c>
      <c r="G57" s="107">
        <f>IF((E57=""),"",(FluidVel(E57,F57)))</f>
        <v>0.06029549986124039</v>
      </c>
      <c r="H57" s="13">
        <f>IF((A57="90 R Bend"),(VLOOKUP(E57,Data!$A$2:$G$21,2)),IF((A57="Isolation Valve"),(VLOOKUP(E57,Data!$A$2:$G$21,3)),IF((A57="Non Return Valve"),(VLOOKUP(E57,Data!$A$2:$G$21,7)),IF((A57="Tee - Line"),(VLOOKUP(E57,Data!$A$2:$G$21,4)),IF((A57="Tee - Branch"),(VLOOKUP(E57,Data!$A$2:$G$21,5)),IF((A57="Reducer"),(VLOOKUP(E57,Data!$A$2:$G$21,6)),""))))))</f>
        <v>1.54</v>
      </c>
      <c r="I57" s="74">
        <f>IF((E57=""),"",(PipePressureDrop(E57,F57))/1000)</f>
        <v>0.0007911757230758667</v>
      </c>
      <c r="J57" s="14">
        <v>3</v>
      </c>
      <c r="K57" s="15">
        <f t="shared" si="11"/>
        <v>0.003655231840610504</v>
      </c>
      <c r="L57" s="16"/>
      <c r="M57" s="180" t="s">
        <v>147</v>
      </c>
      <c r="N57" s="179"/>
      <c r="O57" s="1"/>
      <c r="P57" s="17"/>
      <c r="Q57" s="6"/>
      <c r="R57" s="123">
        <v>4</v>
      </c>
    </row>
    <row r="58" spans="1:18" ht="12.75">
      <c r="A58" s="176" t="s">
        <v>56</v>
      </c>
      <c r="B58" s="177"/>
      <c r="C58" s="121"/>
      <c r="D58" s="11" t="s">
        <v>11</v>
      </c>
      <c r="E58" s="11">
        <v>80</v>
      </c>
      <c r="F58" s="12">
        <f>R58*0.06309</f>
        <v>0.1394289</v>
      </c>
      <c r="G58" s="107">
        <f>IF((E58=""),"",(FluidVel(E58,F58)))</f>
        <v>0.033313263207674026</v>
      </c>
      <c r="H58" s="13">
        <f>IF((A58="90 R Bend"),(VLOOKUP(E58,Data!$A$2:$G$21,2)),IF((A58="Isolation Valve"),(VLOOKUP(E58,Data!$A$2:$G$21,3)),IF((A58="Non Return Valve"),(VLOOKUP(E58,Data!$A$2:$G$21,7)),IF((A58="Tee - Line"),(VLOOKUP(E58,Data!$A$2:$G$21,4)),IF((A58="Tee - Branch"),(VLOOKUP(E58,Data!$A$2:$G$21,5)),IF((A58="Reducer"),(VLOOKUP(E58,Data!$A$2:$G$21,6)),""))))))</f>
        <v>1.54</v>
      </c>
      <c r="I58" s="74">
        <f>IF((E58=""),"",(PipePressureDrop(E58,F58))/1000)</f>
        <v>0.00026367706060409545</v>
      </c>
      <c r="J58" s="14">
        <v>2</v>
      </c>
      <c r="K58" s="15">
        <f t="shared" si="11"/>
        <v>0.000812125346660614</v>
      </c>
      <c r="L58" s="16"/>
      <c r="M58" s="180" t="s">
        <v>147</v>
      </c>
      <c r="N58" s="179"/>
      <c r="O58" s="1"/>
      <c r="P58" s="17"/>
      <c r="Q58" s="6"/>
      <c r="R58" s="123">
        <v>2.21</v>
      </c>
    </row>
    <row r="59" spans="1:18" ht="12.75">
      <c r="A59" s="176" t="s">
        <v>88</v>
      </c>
      <c r="B59" s="177"/>
      <c r="C59" s="121"/>
      <c r="D59" s="11" t="s">
        <v>11</v>
      </c>
      <c r="E59" s="11">
        <v>80</v>
      </c>
      <c r="F59" s="12">
        <f t="shared" si="14"/>
        <v>3.8819277</v>
      </c>
      <c r="G59" s="107">
        <f t="shared" si="8"/>
        <v>0.9274955987930298</v>
      </c>
      <c r="H59" s="13">
        <v>3.5</v>
      </c>
      <c r="I59" s="74">
        <f t="shared" si="9"/>
        <v>0.12492427825927735</v>
      </c>
      <c r="J59" s="14">
        <v>2</v>
      </c>
      <c r="K59" s="15">
        <f t="shared" si="11"/>
        <v>0.8744699478149415</v>
      </c>
      <c r="L59" s="16"/>
      <c r="M59" s="180" t="s">
        <v>145</v>
      </c>
      <c r="N59" s="179"/>
      <c r="O59" s="1"/>
      <c r="P59" s="17">
        <f>IF((G59&gt;0),((1.265*(((((G59/1000)*(H59/1000))^3)/((G59/1000)+(H59/1000)))^0.2))),(I59/1000))</f>
        <v>0.0019040872237349599</v>
      </c>
      <c r="Q59" s="6">
        <f>IF(P59&gt;0,(3.14159*((P59^2)/4)),"")</f>
        <v>2.8474964575305522E-06</v>
      </c>
      <c r="R59" s="123">
        <v>61.53</v>
      </c>
    </row>
    <row r="60" spans="1:18" ht="12.75">
      <c r="A60" s="176" t="s">
        <v>88</v>
      </c>
      <c r="B60" s="177"/>
      <c r="C60" s="121"/>
      <c r="D60" s="11" t="s">
        <v>11</v>
      </c>
      <c r="E60" s="11">
        <v>80</v>
      </c>
      <c r="F60" s="12">
        <f t="shared" si="14"/>
        <v>3.6295676999999995</v>
      </c>
      <c r="G60" s="107">
        <f t="shared" si="8"/>
        <v>0.8672000169754028</v>
      </c>
      <c r="H60" s="13">
        <v>2</v>
      </c>
      <c r="I60" s="74">
        <f t="shared" si="9"/>
        <v>0.11030171203613282</v>
      </c>
      <c r="J60" s="14">
        <v>2</v>
      </c>
      <c r="K60" s="15">
        <f t="shared" si="11"/>
        <v>0.44120684814453126</v>
      </c>
      <c r="L60" s="16"/>
      <c r="M60" s="180" t="s">
        <v>145</v>
      </c>
      <c r="N60" s="179"/>
      <c r="O60" s="1"/>
      <c r="P60" s="17">
        <f>IF((G60&gt;0),((1.265*(((((G60/1000)*(H60/1000))^3)/((G60/1000)+(H60/1000)))^0.2))),(I60/1000))</f>
        <v>0.0014258981036007873</v>
      </c>
      <c r="Q60" s="6">
        <f>IF(P60&gt;0,(3.14159*((P60^2)/4)),"")</f>
        <v>1.5968587316513086E-06</v>
      </c>
      <c r="R60" s="123">
        <v>57.53</v>
      </c>
    </row>
    <row r="61" spans="1:18" ht="12.75">
      <c r="A61" s="176" t="s">
        <v>88</v>
      </c>
      <c r="B61" s="177"/>
      <c r="C61" s="121"/>
      <c r="D61" s="11" t="s">
        <v>11</v>
      </c>
      <c r="E61" s="11">
        <v>80</v>
      </c>
      <c r="F61" s="12">
        <f t="shared" si="14"/>
        <v>3.4901387999999995</v>
      </c>
      <c r="G61" s="107">
        <f t="shared" si="8"/>
        <v>0.8338868021965027</v>
      </c>
      <c r="H61" s="13">
        <v>3</v>
      </c>
      <c r="I61" s="74">
        <f t="shared" si="9"/>
        <v>0.10258306121826172</v>
      </c>
      <c r="J61" s="14">
        <v>2</v>
      </c>
      <c r="K61" s="15">
        <f t="shared" si="11"/>
        <v>0.6154983673095703</v>
      </c>
      <c r="L61" s="16"/>
      <c r="M61" s="180" t="s">
        <v>145</v>
      </c>
      <c r="N61" s="179"/>
      <c r="O61" s="1"/>
      <c r="P61" s="17">
        <f>IF((G61&gt;0),((1.265*(((((G61/1000)*(H61/1000))^3)/((G61/1000)+(H61/1000)))^0.2))),(I61/1000))</f>
        <v>0.001676099055630613</v>
      </c>
      <c r="Q61" s="6">
        <f>IF(P61&gt;0,(3.14159*((P61^2)/4)),"")</f>
        <v>2.206423514711982E-06</v>
      </c>
      <c r="R61" s="123">
        <v>55.32</v>
      </c>
    </row>
    <row r="62" spans="1:18" ht="12.75">
      <c r="A62" s="176" t="s">
        <v>88</v>
      </c>
      <c r="B62" s="177"/>
      <c r="C62" s="121"/>
      <c r="D62" s="11" t="s">
        <v>11</v>
      </c>
      <c r="E62" s="11">
        <v>80</v>
      </c>
      <c r="F62" s="12">
        <f t="shared" si="14"/>
        <v>3.0983498999999997</v>
      </c>
      <c r="G62" s="107">
        <f t="shared" si="8"/>
        <v>0.7402780055999756</v>
      </c>
      <c r="H62" s="13">
        <v>4</v>
      </c>
      <c r="I62" s="74">
        <f t="shared" si="9"/>
        <v>0.08228195190429688</v>
      </c>
      <c r="J62" s="14">
        <v>2</v>
      </c>
      <c r="K62" s="15">
        <f t="shared" si="11"/>
        <v>0.658255615234375</v>
      </c>
      <c r="L62" s="16"/>
      <c r="M62" s="180" t="s">
        <v>145</v>
      </c>
      <c r="N62" s="179"/>
      <c r="O62" s="1"/>
      <c r="P62" s="17">
        <f>IF((G62&gt;0),((1.265*(((((G62/1000)*(H62/1000))^3)/((G62/1000)+(H62/1000)))^0.2))),(I62/1000))</f>
        <v>0.0017774715799742605</v>
      </c>
      <c r="Q62" s="6">
        <f>IF(P62&gt;0,(3.14159*((P62^2)/4)),"")</f>
        <v>2.4813889594027146E-06</v>
      </c>
      <c r="R62" s="123">
        <v>49.11</v>
      </c>
    </row>
    <row r="63" spans="1:18" ht="12.75">
      <c r="A63" s="176" t="s">
        <v>116</v>
      </c>
      <c r="B63" s="177"/>
      <c r="C63" s="121"/>
      <c r="D63" s="11" t="s">
        <v>11</v>
      </c>
      <c r="E63" s="11">
        <v>65</v>
      </c>
      <c r="F63" s="12">
        <f t="shared" si="14"/>
        <v>2.8459898999999997</v>
      </c>
      <c r="G63" s="107">
        <f t="shared" si="8"/>
        <v>0.9738314747810364</v>
      </c>
      <c r="H63" s="13">
        <f>IF((A63="90 R Bend"),(VLOOKUP(E63,Data!$A$2:$G$21,2)),IF((A63="Isolation Valve"),(VLOOKUP(E63,Data!$A$2:$G$21,3)),IF((A63="Non Return Valve"),(VLOOKUP(E63,Data!$A$2:$G$21,7)),IF((A63="Tee - Line"),(VLOOKUP(E63,Data!$A$2:$G$21,4)),IF((A63="Tee - Branch"),(VLOOKUP(E63,Data!$A$2:$G$21,5)),IF((A63="Reducer"),(VLOOKUP(E63,Data!$A$2:$G$21,6)),""))))))</f>
        <v>0.85</v>
      </c>
      <c r="I63" s="74">
        <f t="shared" si="9"/>
        <v>0.17077436828613282</v>
      </c>
      <c r="J63" s="14">
        <v>2</v>
      </c>
      <c r="K63" s="15">
        <f t="shared" si="11"/>
        <v>0.29031642608642577</v>
      </c>
      <c r="L63" s="16"/>
      <c r="M63" s="180" t="s">
        <v>148</v>
      </c>
      <c r="N63" s="179"/>
      <c r="O63" s="1"/>
      <c r="P63" s="17"/>
      <c r="Q63" s="6"/>
      <c r="R63" s="123">
        <v>45.11</v>
      </c>
    </row>
    <row r="64" spans="1:18" ht="12.75">
      <c r="A64" s="176" t="s">
        <v>88</v>
      </c>
      <c r="B64" s="177"/>
      <c r="C64" s="121"/>
      <c r="D64" s="11" t="s">
        <v>11</v>
      </c>
      <c r="E64" s="11">
        <v>80</v>
      </c>
      <c r="F64" s="12">
        <f t="shared" si="14"/>
        <v>2.8459898999999997</v>
      </c>
      <c r="G64" s="107">
        <f t="shared" si="8"/>
        <v>0.6799825429916382</v>
      </c>
      <c r="H64" s="13">
        <v>1</v>
      </c>
      <c r="I64" s="74">
        <f t="shared" si="9"/>
        <v>0.07030256652832031</v>
      </c>
      <c r="J64" s="14">
        <v>2</v>
      </c>
      <c r="K64" s="15">
        <f t="shared" si="11"/>
        <v>0.14060513305664063</v>
      </c>
      <c r="L64" s="16"/>
      <c r="M64" s="180" t="s">
        <v>145</v>
      </c>
      <c r="N64" s="179"/>
      <c r="O64" s="1"/>
      <c r="P64" s="17">
        <f>IF((G64&gt;0),((1.265*(((((G64/1000)*(H64/1000))^3)/((G64/1000)+(H64/1000)))^0.2))),(I64/1000))</f>
        <v>0.0009047492457403047</v>
      </c>
      <c r="Q64" s="6">
        <f>IF(P64&gt;0,(3.14159*((P64^2)/4)),"")</f>
        <v>6.429037722201783E-07</v>
      </c>
      <c r="R64" s="123">
        <v>45.11</v>
      </c>
    </row>
    <row r="65" spans="1:18" ht="12.75">
      <c r="A65" s="176" t="s">
        <v>88</v>
      </c>
      <c r="B65" s="177"/>
      <c r="C65" s="121"/>
      <c r="D65" s="11" t="s">
        <v>11</v>
      </c>
      <c r="E65" s="11">
        <v>80</v>
      </c>
      <c r="F65" s="12">
        <f t="shared" si="14"/>
        <v>2.7065609999999998</v>
      </c>
      <c r="G65" s="107">
        <f t="shared" si="8"/>
        <v>0.6466692686080933</v>
      </c>
      <c r="H65" s="13">
        <v>1</v>
      </c>
      <c r="I65" s="74">
        <f t="shared" si="9"/>
        <v>0.06405732727050781</v>
      </c>
      <c r="J65" s="14">
        <v>2</v>
      </c>
      <c r="K65" s="15">
        <f t="shared" si="11"/>
        <v>0.12811465454101562</v>
      </c>
      <c r="L65" s="16"/>
      <c r="M65" s="180" t="s">
        <v>145</v>
      </c>
      <c r="N65" s="179"/>
      <c r="O65" s="1"/>
      <c r="P65" s="17">
        <f>IF((G65&gt;0),((1.265*(((((G65/1000)*(H65/1000))^3)/((G65/1000)+(H65/1000)))^0.2))),(I65/1000))</f>
        <v>0.0008814112370704113</v>
      </c>
      <c r="Q65" s="6">
        <f>IF(P65&gt;0,(3.14159*((P65^2)/4)),"")</f>
        <v>6.101641406277958E-07</v>
      </c>
      <c r="R65" s="123">
        <v>42.9</v>
      </c>
    </row>
    <row r="66" spans="1:18" ht="12.75">
      <c r="A66" s="176" t="s">
        <v>156</v>
      </c>
      <c r="B66" s="177"/>
      <c r="C66" s="121"/>
      <c r="D66" s="11" t="s">
        <v>11</v>
      </c>
      <c r="E66" s="11">
        <v>65</v>
      </c>
      <c r="F66" s="12">
        <f t="shared" si="14"/>
        <v>2.7065609999999998</v>
      </c>
      <c r="G66" s="107">
        <f t="shared" si="8"/>
        <v>0.9261221885681152</v>
      </c>
      <c r="H66" s="13">
        <f>IF((A66="90 R Bend"),(VLOOKUP(E66,Data!$A$2:$G$21,2)),IF((A66="Isolation Valve"),(VLOOKUP(E66,Data!$A$2:$G$21,3)),IF((A66="Non Return Valve"),(VLOOKUP(E66,Data!$A$2:$G$21,7)),IF((A66="Tee - Line"),(VLOOKUP(E66,Data!$A$2:$G$21,4)),IF((A66="Tee - Branch"),(VLOOKUP(E66,Data!$A$2:$G$21,5)),IF((A66="Reducer"),(VLOOKUP(E66,Data!$A$2:$G$21,6)),""))))))</f>
      </c>
      <c r="I66" s="74">
        <f t="shared" si="9"/>
        <v>0.15560385131835938</v>
      </c>
      <c r="J66" s="14">
        <v>2</v>
      </c>
      <c r="K66" s="116">
        <v>3</v>
      </c>
      <c r="L66" s="16"/>
      <c r="M66" s="180" t="s">
        <v>159</v>
      </c>
      <c r="N66" s="185"/>
      <c r="O66" s="1"/>
      <c r="P66" s="17"/>
      <c r="Q66" s="6"/>
      <c r="R66" s="123">
        <v>42.9</v>
      </c>
    </row>
    <row r="67" spans="1:18" ht="12.75">
      <c r="A67" s="176" t="s">
        <v>88</v>
      </c>
      <c r="B67" s="177"/>
      <c r="C67" s="121"/>
      <c r="D67" s="11" t="s">
        <v>11</v>
      </c>
      <c r="E67" s="11">
        <v>65</v>
      </c>
      <c r="F67" s="12">
        <f t="shared" si="14"/>
        <v>2.7065609999999998</v>
      </c>
      <c r="G67" s="107">
        <f aca="true" t="shared" si="15" ref="G67:G109">IF((E67=""),"",(FluidVel(E67,F67)))</f>
        <v>0.9261221885681152</v>
      </c>
      <c r="H67" s="13">
        <v>1</v>
      </c>
      <c r="I67" s="74">
        <f aca="true" t="shared" si="16" ref="I67:I109">IF((E67=""),"",(PipePressureDrop(E67,F67))/1000)</f>
        <v>0.15560385131835938</v>
      </c>
      <c r="J67" s="14">
        <v>2</v>
      </c>
      <c r="K67" s="15">
        <f aca="true" t="shared" si="17" ref="K67:K97">IF(AND(I67="",H67=""),"",(J67*I67*H67))</f>
        <v>0.31120770263671876</v>
      </c>
      <c r="L67" s="16"/>
      <c r="M67" s="180" t="s">
        <v>149</v>
      </c>
      <c r="N67" s="179"/>
      <c r="O67" s="1"/>
      <c r="P67" s="17"/>
      <c r="Q67" s="6"/>
      <c r="R67" s="123">
        <v>42.9</v>
      </c>
    </row>
    <row r="68" spans="1:18" ht="12.75">
      <c r="A68" s="176" t="s">
        <v>53</v>
      </c>
      <c r="B68" s="177"/>
      <c r="C68" s="121"/>
      <c r="D68" s="11" t="s">
        <v>11</v>
      </c>
      <c r="E68" s="11">
        <v>65</v>
      </c>
      <c r="F68" s="12">
        <f t="shared" si="14"/>
        <v>2.7065609999999998</v>
      </c>
      <c r="G68" s="107">
        <f t="shared" si="15"/>
        <v>0.9261221885681152</v>
      </c>
      <c r="H68" s="13">
        <f>IF((A68="90 R Bend"),(VLOOKUP(E68,Data!$A$2:$G$21,2)),IF((A68="Isolation Valve"),(VLOOKUP(E68,Data!$A$2:$G$21,3)),IF((A68="Non Return Valve"),(VLOOKUP(E68,Data!$A$2:$G$21,7)),IF((A68="Tee - Line"),(VLOOKUP(E68,Data!$A$2:$G$21,4)),IF((A68="Tee - Branch"),(VLOOKUP(E68,Data!$A$2:$G$21,5)),IF((A68="Reducer"),(VLOOKUP(E68,Data!$A$2:$G$21,6)),""))))))</f>
        <v>1.35</v>
      </c>
      <c r="I68" s="74">
        <f t="shared" si="16"/>
        <v>0.15560385131835938</v>
      </c>
      <c r="J68" s="14">
        <v>2</v>
      </c>
      <c r="K68" s="15">
        <f t="shared" si="17"/>
        <v>0.42013039855957035</v>
      </c>
      <c r="L68" s="16"/>
      <c r="M68" s="183" t="s">
        <v>150</v>
      </c>
      <c r="N68" s="179"/>
      <c r="O68" s="1"/>
      <c r="P68" s="17"/>
      <c r="Q68" s="6"/>
      <c r="R68" s="123">
        <v>42.9</v>
      </c>
    </row>
    <row r="69" spans="1:18" ht="12.75">
      <c r="A69" s="176" t="s">
        <v>88</v>
      </c>
      <c r="B69" s="177"/>
      <c r="C69" s="121"/>
      <c r="D69" s="11" t="s">
        <v>11</v>
      </c>
      <c r="E69" s="11">
        <v>65</v>
      </c>
      <c r="F69" s="12">
        <f t="shared" si="14"/>
        <v>2.7065609999999998</v>
      </c>
      <c r="G69" s="107">
        <f>IF((E69=""),"",(FluidVel(E69,F69)))</f>
        <v>0.9261221885681152</v>
      </c>
      <c r="H69" s="13">
        <v>1.5</v>
      </c>
      <c r="I69" s="74">
        <f>IF((E69=""),"",(PipePressureDrop(E69,F69))/1000)</f>
        <v>0.15560385131835938</v>
      </c>
      <c r="J69" s="14">
        <v>2</v>
      </c>
      <c r="K69" s="15">
        <f t="shared" si="17"/>
        <v>0.4668115539550781</v>
      </c>
      <c r="L69" s="16"/>
      <c r="M69" s="180" t="s">
        <v>149</v>
      </c>
      <c r="N69" s="179"/>
      <c r="O69" s="1"/>
      <c r="P69" s="17"/>
      <c r="Q69" s="6"/>
      <c r="R69" s="123">
        <v>42.9</v>
      </c>
    </row>
    <row r="70" spans="1:18" ht="12.75">
      <c r="A70" s="176" t="s">
        <v>55</v>
      </c>
      <c r="B70" s="177"/>
      <c r="C70" s="121"/>
      <c r="D70" s="11" t="s">
        <v>11</v>
      </c>
      <c r="E70" s="11">
        <v>65</v>
      </c>
      <c r="F70" s="12">
        <f t="shared" si="14"/>
        <v>2.3494715999999998</v>
      </c>
      <c r="G70" s="107">
        <f t="shared" si="15"/>
        <v>0.8039344549179077</v>
      </c>
      <c r="H70" s="13">
        <f>IF((A70="90 R Bend"),(VLOOKUP(E70,Data!$A$2:$G$21,2)),IF((A70="Isolation Valve"),(VLOOKUP(E70,Data!$A$2:$G$21,3)),IF((A70="Non Return Valve"),(VLOOKUP(E70,Data!$A$2:$G$21,7)),IF((A70="Tee - Line"),(VLOOKUP(E70,Data!$A$2:$G$21,4)),IF((A70="Tee - Branch"),(VLOOKUP(E70,Data!$A$2:$G$21,5)),IF((A70="Reducer"),(VLOOKUP(E70,Data!$A$2:$G$21,6)),""))))))</f>
        <v>3.65</v>
      </c>
      <c r="I70" s="74">
        <f t="shared" si="16"/>
        <v>0.1197344970703125</v>
      </c>
      <c r="J70" s="14">
        <v>2</v>
      </c>
      <c r="K70" s="15">
        <f t="shared" si="17"/>
        <v>0.8740618286132812</v>
      </c>
      <c r="L70" s="16"/>
      <c r="M70" s="180" t="s">
        <v>189</v>
      </c>
      <c r="N70" s="179"/>
      <c r="O70" s="1"/>
      <c r="P70" s="17"/>
      <c r="Q70" s="6"/>
      <c r="R70" s="123">
        <v>37.24</v>
      </c>
    </row>
    <row r="71" spans="1:18" ht="12.75">
      <c r="A71" s="176" t="s">
        <v>88</v>
      </c>
      <c r="B71" s="177"/>
      <c r="C71" s="121"/>
      <c r="D71" s="11" t="s">
        <v>11</v>
      </c>
      <c r="E71" s="11">
        <v>65</v>
      </c>
      <c r="F71" s="12">
        <f aca="true" t="shared" si="18" ref="F71:F79">R71*0.06309</f>
        <v>2.7065609999999998</v>
      </c>
      <c r="G71" s="107">
        <f aca="true" t="shared" si="19" ref="G71:G79">IF((E71=""),"",(FluidVel(E71,F71)))</f>
        <v>0.9261221885681152</v>
      </c>
      <c r="H71" s="13">
        <v>1</v>
      </c>
      <c r="I71" s="74">
        <f aca="true" t="shared" si="20" ref="I71:I79">IF((E71=""),"",(PipePressureDrop(E71,F71))/1000)</f>
        <v>0.15560385131835938</v>
      </c>
      <c r="J71" s="14">
        <v>2</v>
      </c>
      <c r="K71" s="15">
        <f t="shared" si="17"/>
        <v>0.31120770263671876</v>
      </c>
      <c r="L71" s="16"/>
      <c r="M71" s="180" t="s">
        <v>149</v>
      </c>
      <c r="N71" s="179"/>
      <c r="O71" s="1"/>
      <c r="P71" s="17"/>
      <c r="Q71" s="6"/>
      <c r="R71" s="123">
        <v>42.9</v>
      </c>
    </row>
    <row r="72" spans="1:18" ht="12.75">
      <c r="A72" s="176" t="s">
        <v>53</v>
      </c>
      <c r="B72" s="177"/>
      <c r="C72" s="121"/>
      <c r="D72" s="11" t="s">
        <v>11</v>
      </c>
      <c r="E72" s="11">
        <v>65</v>
      </c>
      <c r="F72" s="12">
        <f t="shared" si="18"/>
        <v>2.7065609999999998</v>
      </c>
      <c r="G72" s="107">
        <f t="shared" si="19"/>
        <v>0.9261221885681152</v>
      </c>
      <c r="H72" s="13">
        <f>IF((A72="90 R Bend"),(VLOOKUP(E72,Data!$A$2:$G$21,2)),IF((A72="Isolation Valve"),(VLOOKUP(E72,Data!$A$2:$G$21,3)),IF((A72="Non Return Valve"),(VLOOKUP(E72,Data!$A$2:$G$21,7)),IF((A72="Tee - Line"),(VLOOKUP(E72,Data!$A$2:$G$21,4)),IF((A72="Tee - Branch"),(VLOOKUP(E72,Data!$A$2:$G$21,5)),IF((A72="Reducer"),(VLOOKUP(E72,Data!$A$2:$G$21,6)),""))))))</f>
        <v>1.35</v>
      </c>
      <c r="I72" s="74">
        <f t="shared" si="20"/>
        <v>0.15560385131835938</v>
      </c>
      <c r="J72" s="14">
        <v>2</v>
      </c>
      <c r="K72" s="15">
        <f t="shared" si="17"/>
        <v>0.42013039855957035</v>
      </c>
      <c r="L72" s="16"/>
      <c r="M72" s="180" t="s">
        <v>150</v>
      </c>
      <c r="N72" s="179"/>
      <c r="O72" s="1"/>
      <c r="P72" s="17"/>
      <c r="Q72" s="6"/>
      <c r="R72" s="123">
        <v>42.9</v>
      </c>
    </row>
    <row r="73" spans="1:18" ht="12.75">
      <c r="A73" s="176" t="s">
        <v>88</v>
      </c>
      <c r="B73" s="177"/>
      <c r="C73" s="121"/>
      <c r="D73" s="11" t="s">
        <v>11</v>
      </c>
      <c r="E73" s="11">
        <v>65</v>
      </c>
      <c r="F73" s="12">
        <f t="shared" si="18"/>
        <v>2.7065609999999998</v>
      </c>
      <c r="G73" s="107">
        <f t="shared" si="19"/>
        <v>0.9261221885681152</v>
      </c>
      <c r="H73" s="13">
        <v>1</v>
      </c>
      <c r="I73" s="74">
        <f t="shared" si="20"/>
        <v>0.15560385131835938</v>
      </c>
      <c r="J73" s="14">
        <v>2</v>
      </c>
      <c r="K73" s="15">
        <f t="shared" si="17"/>
        <v>0.31120770263671876</v>
      </c>
      <c r="L73" s="16"/>
      <c r="M73" s="180" t="s">
        <v>149</v>
      </c>
      <c r="N73" s="179"/>
      <c r="O73" s="1"/>
      <c r="P73" s="17"/>
      <c r="Q73" s="6"/>
      <c r="R73" s="123">
        <v>42.9</v>
      </c>
    </row>
    <row r="74" spans="1:18" ht="12.75">
      <c r="A74" s="176" t="s">
        <v>53</v>
      </c>
      <c r="B74" s="177"/>
      <c r="C74" s="121"/>
      <c r="D74" s="11" t="s">
        <v>11</v>
      </c>
      <c r="E74" s="11">
        <v>65</v>
      </c>
      <c r="F74" s="12">
        <f t="shared" si="18"/>
        <v>2.7065609999999998</v>
      </c>
      <c r="G74" s="107">
        <f t="shared" si="19"/>
        <v>0.9261221885681152</v>
      </c>
      <c r="H74" s="13">
        <f>IF((A74="90 R Bend"),(VLOOKUP(E74,Data!$A$2:$G$21,2)),IF((A74="Isolation Valve"),(VLOOKUP(E74,Data!$A$2:$G$21,3)),IF((A74="Non Return Valve"),(VLOOKUP(E74,Data!$A$2:$G$21,7)),IF((A74="Tee - Line"),(VLOOKUP(E74,Data!$A$2:$G$21,4)),IF((A74="Tee - Branch"),(VLOOKUP(E74,Data!$A$2:$G$21,5)),IF((A74="Reducer"),(VLOOKUP(E74,Data!$A$2:$G$21,6)),""))))))</f>
        <v>1.35</v>
      </c>
      <c r="I74" s="74">
        <f t="shared" si="20"/>
        <v>0.15560385131835938</v>
      </c>
      <c r="J74" s="14">
        <v>2</v>
      </c>
      <c r="K74" s="15">
        <f t="shared" si="17"/>
        <v>0.42013039855957035</v>
      </c>
      <c r="L74" s="16"/>
      <c r="M74" s="180" t="s">
        <v>150</v>
      </c>
      <c r="N74" s="179"/>
      <c r="O74" s="1"/>
      <c r="P74" s="17"/>
      <c r="Q74" s="6"/>
      <c r="R74" s="123">
        <v>42.9</v>
      </c>
    </row>
    <row r="75" spans="1:18" ht="12.75">
      <c r="A75" s="176" t="s">
        <v>88</v>
      </c>
      <c r="B75" s="177"/>
      <c r="C75" s="121"/>
      <c r="D75" s="11" t="s">
        <v>11</v>
      </c>
      <c r="E75" s="11">
        <v>65</v>
      </c>
      <c r="F75" s="12">
        <f t="shared" si="18"/>
        <v>2.7065609999999998</v>
      </c>
      <c r="G75" s="107">
        <f t="shared" si="19"/>
        <v>0.9261221885681152</v>
      </c>
      <c r="H75" s="13">
        <v>3.5</v>
      </c>
      <c r="I75" s="74">
        <f t="shared" si="20"/>
        <v>0.15560385131835938</v>
      </c>
      <c r="J75" s="14">
        <v>2</v>
      </c>
      <c r="K75" s="15">
        <f t="shared" si="17"/>
        <v>1.0892269592285158</v>
      </c>
      <c r="L75" s="16"/>
      <c r="M75" s="183" t="s">
        <v>190</v>
      </c>
      <c r="N75" s="179"/>
      <c r="O75" s="1"/>
      <c r="P75" s="17"/>
      <c r="Q75" s="6"/>
      <c r="R75" s="123">
        <v>42.9</v>
      </c>
    </row>
    <row r="76" spans="1:18" ht="12.75">
      <c r="A76" s="176" t="s">
        <v>53</v>
      </c>
      <c r="B76" s="177"/>
      <c r="C76" s="121"/>
      <c r="D76" s="11" t="s">
        <v>11</v>
      </c>
      <c r="E76" s="11">
        <v>65</v>
      </c>
      <c r="F76" s="12">
        <f t="shared" si="18"/>
        <v>2.7065609999999998</v>
      </c>
      <c r="G76" s="107">
        <f t="shared" si="19"/>
        <v>0.9261221885681152</v>
      </c>
      <c r="H76" s="13">
        <f>IF((A76="90 R Bend"),(VLOOKUP(E76,Data!$A$2:$G$21,2)),IF((A76="Isolation Valve"),(VLOOKUP(E76,Data!$A$2:$G$21,3)),IF((A76="Non Return Valve"),(VLOOKUP(E76,Data!$A$2:$G$21,7)),IF((A76="Tee - Line"),(VLOOKUP(E76,Data!$A$2:$G$21,4)),IF((A76="Tee - Branch"),(VLOOKUP(E76,Data!$A$2:$G$21,5)),IF((A76="Reducer"),(VLOOKUP(E76,Data!$A$2:$G$21,6)),""))))))</f>
        <v>1.35</v>
      </c>
      <c r="I76" s="74">
        <f t="shared" si="20"/>
        <v>0.15560385131835938</v>
      </c>
      <c r="J76" s="14">
        <v>2</v>
      </c>
      <c r="K76" s="15">
        <f t="shared" si="17"/>
        <v>0.42013039855957035</v>
      </c>
      <c r="L76" s="16"/>
      <c r="M76" s="183" t="s">
        <v>192</v>
      </c>
      <c r="N76" s="179"/>
      <c r="O76" s="1"/>
      <c r="P76" s="17"/>
      <c r="Q76" s="6"/>
      <c r="R76" s="123">
        <v>42.9</v>
      </c>
    </row>
    <row r="77" spans="1:18" ht="12.75">
      <c r="A77" s="176" t="s">
        <v>88</v>
      </c>
      <c r="B77" s="177"/>
      <c r="C77" s="121"/>
      <c r="D77" s="11" t="s">
        <v>11</v>
      </c>
      <c r="E77" s="11">
        <v>65</v>
      </c>
      <c r="F77" s="12">
        <f t="shared" si="18"/>
        <v>2.7065609999999998</v>
      </c>
      <c r="G77" s="107">
        <f t="shared" si="19"/>
        <v>0.9261221885681152</v>
      </c>
      <c r="H77" s="13">
        <v>0.5</v>
      </c>
      <c r="I77" s="74">
        <f t="shared" si="20"/>
        <v>0.15560385131835938</v>
      </c>
      <c r="J77" s="14">
        <v>2</v>
      </c>
      <c r="K77" s="15">
        <f t="shared" si="17"/>
        <v>0.15560385131835938</v>
      </c>
      <c r="L77" s="16"/>
      <c r="M77" s="183" t="s">
        <v>190</v>
      </c>
      <c r="N77" s="179"/>
      <c r="O77" s="1"/>
      <c r="P77" s="17"/>
      <c r="Q77" s="6"/>
      <c r="R77" s="123">
        <v>42.9</v>
      </c>
    </row>
    <row r="78" spans="1:18" ht="12.75">
      <c r="A78" s="176" t="s">
        <v>53</v>
      </c>
      <c r="B78" s="177"/>
      <c r="C78" s="121"/>
      <c r="D78" s="11" t="s">
        <v>11</v>
      </c>
      <c r="E78" s="11">
        <v>65</v>
      </c>
      <c r="F78" s="12">
        <f t="shared" si="18"/>
        <v>2.7065609999999998</v>
      </c>
      <c r="G78" s="107">
        <f t="shared" si="19"/>
        <v>0.9261221885681152</v>
      </c>
      <c r="H78" s="13">
        <f>IF((A78="90 R Bend"),(VLOOKUP(E78,Data!$A$2:$G$21,2)),IF((A78="Isolation Valve"),(VLOOKUP(E78,Data!$A$2:$G$21,3)),IF((A78="Non Return Valve"),(VLOOKUP(E78,Data!$A$2:$G$21,7)),IF((A78="Tee - Line"),(VLOOKUP(E78,Data!$A$2:$G$21,4)),IF((A78="Tee - Branch"),(VLOOKUP(E78,Data!$A$2:$G$21,5)),IF((A78="Reducer"),(VLOOKUP(E78,Data!$A$2:$G$21,6)),""))))))</f>
        <v>1.35</v>
      </c>
      <c r="I78" s="74">
        <f t="shared" si="20"/>
        <v>0.15560385131835938</v>
      </c>
      <c r="J78" s="14">
        <v>2</v>
      </c>
      <c r="K78" s="15">
        <f t="shared" si="17"/>
        <v>0.42013039855957035</v>
      </c>
      <c r="L78" s="16"/>
      <c r="M78" s="183" t="s">
        <v>191</v>
      </c>
      <c r="N78" s="179"/>
      <c r="O78" s="1"/>
      <c r="P78" s="17"/>
      <c r="Q78" s="6"/>
      <c r="R78" s="123">
        <v>42.9</v>
      </c>
    </row>
    <row r="79" spans="1:18" ht="12.75">
      <c r="A79" s="176" t="s">
        <v>88</v>
      </c>
      <c r="B79" s="177"/>
      <c r="C79" s="121"/>
      <c r="D79" s="11" t="s">
        <v>11</v>
      </c>
      <c r="E79" s="11">
        <v>65</v>
      </c>
      <c r="F79" s="12">
        <f t="shared" si="18"/>
        <v>2.7065609999999998</v>
      </c>
      <c r="G79" s="107">
        <f t="shared" si="19"/>
        <v>0.9261221885681152</v>
      </c>
      <c r="H79" s="13">
        <v>0.5</v>
      </c>
      <c r="I79" s="74">
        <f t="shared" si="20"/>
        <v>0.15560385131835938</v>
      </c>
      <c r="J79" s="14">
        <v>2</v>
      </c>
      <c r="K79" s="15">
        <f t="shared" si="17"/>
        <v>0.15560385131835938</v>
      </c>
      <c r="L79" s="16"/>
      <c r="M79" s="183" t="s">
        <v>193</v>
      </c>
      <c r="N79" s="179"/>
      <c r="O79" s="1"/>
      <c r="P79" s="17"/>
      <c r="Q79" s="6"/>
      <c r="R79" s="123">
        <v>42.9</v>
      </c>
    </row>
    <row r="80" spans="1:18" ht="12.75">
      <c r="A80" s="176" t="s">
        <v>55</v>
      </c>
      <c r="B80" s="177"/>
      <c r="C80" s="121"/>
      <c r="D80" s="11" t="s">
        <v>11</v>
      </c>
      <c r="E80" s="11">
        <v>65</v>
      </c>
      <c r="F80" s="12">
        <f t="shared" si="14"/>
        <v>2.7065609999999998</v>
      </c>
      <c r="G80" s="107">
        <f t="shared" si="15"/>
        <v>0.9261221885681152</v>
      </c>
      <c r="H80" s="13">
        <f>IF((A80="90 R Bend"),(VLOOKUP(E80,Data!$A$2:$G$21,2)),IF((A80="Isolation Valve"),(VLOOKUP(E80,Data!$A$2:$G$21,3)),IF((A80="Non Return Valve"),(VLOOKUP(E80,Data!$A$2:$G$21,7)),IF((A80="Tee - Line"),(VLOOKUP(E80,Data!$A$2:$G$21,4)),IF((A80="Tee - Branch"),(VLOOKUP(E80,Data!$A$2:$G$21,5)),IF((A80="Reducer"),(VLOOKUP(E80,Data!$A$2:$G$21,6)),""))))))</f>
        <v>3.65</v>
      </c>
      <c r="I80" s="74">
        <f t="shared" si="16"/>
        <v>0.15560385131835938</v>
      </c>
      <c r="J80" s="14">
        <v>2</v>
      </c>
      <c r="K80" s="15">
        <f t="shared" si="17"/>
        <v>1.1359081146240235</v>
      </c>
      <c r="L80" s="16"/>
      <c r="M80" s="183" t="s">
        <v>194</v>
      </c>
      <c r="N80" s="184"/>
      <c r="O80" s="1"/>
      <c r="P80" s="17"/>
      <c r="Q80" s="6"/>
      <c r="R80" s="123">
        <v>42.9</v>
      </c>
    </row>
    <row r="81" spans="1:18" ht="12.75">
      <c r="A81" s="176" t="s">
        <v>88</v>
      </c>
      <c r="B81" s="177"/>
      <c r="C81" s="121"/>
      <c r="D81" s="11" t="s">
        <v>11</v>
      </c>
      <c r="E81" s="11">
        <v>65</v>
      </c>
      <c r="F81" s="12">
        <f t="shared" si="14"/>
        <v>2.7065609999999998</v>
      </c>
      <c r="G81" s="107">
        <f t="shared" si="15"/>
        <v>0.9261221885681152</v>
      </c>
      <c r="H81" s="13">
        <v>0.5</v>
      </c>
      <c r="I81" s="74">
        <f t="shared" si="16"/>
        <v>0.15560385131835938</v>
      </c>
      <c r="J81" s="14">
        <v>2</v>
      </c>
      <c r="K81" s="15">
        <f t="shared" si="17"/>
        <v>0.15560385131835938</v>
      </c>
      <c r="L81" s="16"/>
      <c r="M81" s="183" t="s">
        <v>194</v>
      </c>
      <c r="N81" s="184"/>
      <c r="O81" s="1"/>
      <c r="P81" s="17"/>
      <c r="Q81" s="6"/>
      <c r="R81" s="123">
        <v>42.9</v>
      </c>
    </row>
    <row r="82" spans="1:18" ht="12.75">
      <c r="A82" s="176" t="s">
        <v>55</v>
      </c>
      <c r="B82" s="177"/>
      <c r="C82" s="121"/>
      <c r="D82" s="11" t="s">
        <v>11</v>
      </c>
      <c r="E82" s="11">
        <v>50</v>
      </c>
      <c r="F82" s="12">
        <f>R82*0.06309</f>
        <v>1.8649403999999998</v>
      </c>
      <c r="G82" s="107">
        <f>IF((E82=""),"",(FluidVel(E82,F82)))</f>
        <v>1.0306057929992676</v>
      </c>
      <c r="H82" s="13">
        <f>IF((A82="90 R Bend"),(VLOOKUP(E82,Data!$A$2:$G$21,2)),IF((A82="Isolation Valve"),(VLOOKUP(E82,Data!$A$2:$G$21,3)),IF((A82="Non Return Valve"),(VLOOKUP(E82,Data!$A$2:$G$21,7)),IF((A82="Tee - Line"),(VLOOKUP(E82,Data!$A$2:$G$21,4)),IF((A82="Tee - Branch"),(VLOOKUP(E82,Data!$A$2:$G$21,5)),IF((A82="Reducer"),(VLOOKUP(E82,Data!$A$2:$G$21,6)),""))))))</f>
        <v>3.04</v>
      </c>
      <c r="I82" s="74">
        <f>IF((E82=""),"",(PipePressureDrop(E82,F82))/1000)</f>
        <v>0.2508675994873047</v>
      </c>
      <c r="J82" s="14">
        <v>2</v>
      </c>
      <c r="K82" s="15">
        <f t="shared" si="17"/>
        <v>1.5252750048828125</v>
      </c>
      <c r="L82" s="16"/>
      <c r="M82" s="183" t="s">
        <v>194</v>
      </c>
      <c r="N82" s="184"/>
      <c r="O82" s="1"/>
      <c r="P82" s="17"/>
      <c r="Q82" s="6"/>
      <c r="R82" s="123">
        <v>29.56</v>
      </c>
    </row>
    <row r="83" spans="1:18" ht="12.75">
      <c r="A83" s="176" t="s">
        <v>88</v>
      </c>
      <c r="B83" s="177"/>
      <c r="C83" s="121"/>
      <c r="D83" s="11" t="s">
        <v>11</v>
      </c>
      <c r="E83" s="11">
        <v>65</v>
      </c>
      <c r="F83" s="12">
        <f>R83*0.06309</f>
        <v>1.8649403999999998</v>
      </c>
      <c r="G83" s="107">
        <f>IF((E83=""),"",(FluidVel(E83,F83)))</f>
        <v>0.6381391882896423</v>
      </c>
      <c r="H83" s="13">
        <v>4.3</v>
      </c>
      <c r="I83" s="74">
        <f>IF((E83=""),"",(PipePressureDrop(E83,F83))/1000)</f>
        <v>0.0780645751953125</v>
      </c>
      <c r="J83" s="14">
        <v>2</v>
      </c>
      <c r="K83" s="15">
        <f t="shared" si="17"/>
        <v>0.6713553466796874</v>
      </c>
      <c r="L83" s="16"/>
      <c r="M83" s="183" t="s">
        <v>194</v>
      </c>
      <c r="N83" s="184"/>
      <c r="O83" s="1"/>
      <c r="P83" s="17"/>
      <c r="Q83" s="6"/>
      <c r="R83" s="123">
        <v>29.56</v>
      </c>
    </row>
    <row r="84" spans="1:18" ht="12.75">
      <c r="A84" s="176" t="s">
        <v>56</v>
      </c>
      <c r="B84" s="177"/>
      <c r="C84" s="121"/>
      <c r="D84" s="11" t="s">
        <v>11</v>
      </c>
      <c r="E84" s="11">
        <v>40</v>
      </c>
      <c r="F84" s="12">
        <f t="shared" si="14"/>
        <v>0.40377599999999997</v>
      </c>
      <c r="G84" s="107">
        <f t="shared" si="15"/>
        <v>0.396684855222702</v>
      </c>
      <c r="H84" s="13">
        <f>IF((A84="90 R Bend"),(VLOOKUP(E84,Data!$A$2:$G$21,2)),IF((A84="Isolation Valve"),(VLOOKUP(E84,Data!$A$2:$G$21,3)),IF((A84="Non Return Valve"),(VLOOKUP(E84,Data!$A$2:$G$21,7)),IF((A84="Tee - Line"),(VLOOKUP(E84,Data!$A$2:$G$21,4)),IF((A84="Tee - Branch"),(VLOOKUP(E84,Data!$A$2:$G$21,5)),IF((A84="Reducer"),(VLOOKUP(E84,Data!$A$2:$G$21,6)),""))))))</f>
        <v>0.79</v>
      </c>
      <c r="I84" s="74">
        <f t="shared" si="16"/>
        <v>0.060659225463867185</v>
      </c>
      <c r="J84" s="14">
        <v>2</v>
      </c>
      <c r="K84" s="15">
        <f t="shared" si="17"/>
        <v>0.09584157623291016</v>
      </c>
      <c r="L84" s="16"/>
      <c r="M84" s="183" t="s">
        <v>194</v>
      </c>
      <c r="N84" s="184"/>
      <c r="O84" s="1"/>
      <c r="P84" s="17"/>
      <c r="Q84" s="6"/>
      <c r="R84" s="123">
        <v>6.4</v>
      </c>
    </row>
    <row r="85" spans="1:18" ht="12.75">
      <c r="A85" s="176" t="s">
        <v>88</v>
      </c>
      <c r="B85" s="177"/>
      <c r="C85" s="121"/>
      <c r="D85" s="11" t="s">
        <v>11</v>
      </c>
      <c r="E85" s="11">
        <v>65</v>
      </c>
      <c r="F85" s="12">
        <f t="shared" si="14"/>
        <v>1.4611644</v>
      </c>
      <c r="G85" s="107">
        <f t="shared" si="15"/>
        <v>0.49997642636299133</v>
      </c>
      <c r="H85" s="13">
        <v>8.5</v>
      </c>
      <c r="I85" s="74">
        <f t="shared" si="16"/>
        <v>0.04968269729614258</v>
      </c>
      <c r="J85" s="14">
        <v>2</v>
      </c>
      <c r="K85" s="15">
        <f t="shared" si="17"/>
        <v>0.8446058540344239</v>
      </c>
      <c r="L85" s="16"/>
      <c r="M85" s="183" t="s">
        <v>194</v>
      </c>
      <c r="N85" s="184"/>
      <c r="O85" s="1"/>
      <c r="P85" s="17"/>
      <c r="Q85" s="6"/>
      <c r="R85" s="123">
        <v>23.16</v>
      </c>
    </row>
    <row r="86" spans="1:18" ht="12.75">
      <c r="A86" s="176" t="s">
        <v>56</v>
      </c>
      <c r="B86" s="177"/>
      <c r="C86" s="121"/>
      <c r="D86" s="11" t="s">
        <v>11</v>
      </c>
      <c r="E86" s="11">
        <v>40</v>
      </c>
      <c r="F86" s="12">
        <f t="shared" si="14"/>
        <v>0.40377599999999997</v>
      </c>
      <c r="G86" s="107">
        <f t="shared" si="15"/>
        <v>0.396684855222702</v>
      </c>
      <c r="H86" s="13">
        <f>IF((A86="90 R Bend"),(VLOOKUP(E86,Data!$A$2:$G$21,2)),IF((A86="Isolation Valve"),(VLOOKUP(E86,Data!$A$2:$G$21,3)),IF((A86="Non Return Valve"),(VLOOKUP(E86,Data!$A$2:$G$21,7)),IF((A86="Tee - Line"),(VLOOKUP(E86,Data!$A$2:$G$21,4)),IF((A86="Tee - Branch"),(VLOOKUP(E86,Data!$A$2:$G$21,5)),IF((A86="Reducer"),(VLOOKUP(E86,Data!$A$2:$G$21,6)),""))))))</f>
        <v>0.79</v>
      </c>
      <c r="I86" s="74">
        <f t="shared" si="16"/>
        <v>0.060659225463867185</v>
      </c>
      <c r="J86" s="14">
        <v>2</v>
      </c>
      <c r="K86" s="15">
        <f t="shared" si="17"/>
        <v>0.09584157623291016</v>
      </c>
      <c r="L86" s="16"/>
      <c r="M86" s="183" t="s">
        <v>194</v>
      </c>
      <c r="N86" s="184"/>
      <c r="O86" s="1"/>
      <c r="P86" s="17"/>
      <c r="Q86" s="6"/>
      <c r="R86" s="123">
        <v>6.4</v>
      </c>
    </row>
    <row r="87" spans="1:18" ht="12.75">
      <c r="A87" s="176" t="s">
        <v>88</v>
      </c>
      <c r="B87" s="177"/>
      <c r="C87" s="121"/>
      <c r="D87" s="11" t="s">
        <v>11</v>
      </c>
      <c r="E87" s="11">
        <v>65</v>
      </c>
      <c r="F87" s="12">
        <f>R87*0.06309</f>
        <v>0.8075519999999999</v>
      </c>
      <c r="G87" s="107">
        <f>IF((E87=""),"",(FluidVel(E87,F87)))</f>
        <v>0.2763254940509796</v>
      </c>
      <c r="H87" s="13">
        <v>9.5</v>
      </c>
      <c r="I87" s="74">
        <f>IF((E87=""),"",(PipePressureDrop(E87,F87))/1000)</f>
        <v>0.01656770133972168</v>
      </c>
      <c r="J87" s="14">
        <v>2</v>
      </c>
      <c r="K87" s="15">
        <f t="shared" si="17"/>
        <v>0.3147863254547119</v>
      </c>
      <c r="L87" s="16"/>
      <c r="M87" s="183" t="s">
        <v>194</v>
      </c>
      <c r="N87" s="184"/>
      <c r="O87" s="1"/>
      <c r="P87" s="17"/>
      <c r="Q87" s="6"/>
      <c r="R87" s="123">
        <v>12.8</v>
      </c>
    </row>
    <row r="88" spans="1:18" ht="12.75">
      <c r="A88" s="176" t="s">
        <v>56</v>
      </c>
      <c r="B88" s="177"/>
      <c r="C88" s="121"/>
      <c r="D88" s="11" t="s">
        <v>11</v>
      </c>
      <c r="E88" s="11">
        <v>40</v>
      </c>
      <c r="F88" s="12">
        <f>R88*0.06309</f>
        <v>0.40377599999999997</v>
      </c>
      <c r="G88" s="107">
        <f>IF((E88=""),"",(FluidVel(E88,F88)))</f>
        <v>0.396684855222702</v>
      </c>
      <c r="H88" s="13">
        <f>IF((A88="90 R Bend"),(VLOOKUP(E88,Data!$A$2:$G$21,2)),IF((A88="Isolation Valve"),(VLOOKUP(E88,Data!$A$2:$G$21,3)),IF((A88="Non Return Valve"),(VLOOKUP(E88,Data!$A$2:$G$21,7)),IF((A88="Tee - Line"),(VLOOKUP(E88,Data!$A$2:$G$21,4)),IF((A88="Tee - Branch"),(VLOOKUP(E88,Data!$A$2:$G$21,5)),IF((A88="Reducer"),(VLOOKUP(E88,Data!$A$2:$G$21,6)),""))))))</f>
        <v>0.79</v>
      </c>
      <c r="I88" s="74">
        <f>IF((E88=""),"",(PipePressureDrop(E88,F88))/1000)</f>
        <v>0.060659225463867185</v>
      </c>
      <c r="J88" s="14">
        <v>2</v>
      </c>
      <c r="K88" s="15">
        <f t="shared" si="17"/>
        <v>0.09584157623291016</v>
      </c>
      <c r="L88" s="16"/>
      <c r="M88" s="183" t="s">
        <v>194</v>
      </c>
      <c r="N88" s="184"/>
      <c r="O88" s="1"/>
      <c r="P88" s="17"/>
      <c r="Q88" s="6"/>
      <c r="R88" s="123">
        <v>6.4</v>
      </c>
    </row>
    <row r="89" spans="1:18" ht="12.75">
      <c r="A89" s="176" t="s">
        <v>116</v>
      </c>
      <c r="B89" s="177"/>
      <c r="C89" s="121"/>
      <c r="D89" s="11" t="s">
        <v>11</v>
      </c>
      <c r="E89" s="11">
        <v>40</v>
      </c>
      <c r="F89" s="12">
        <f t="shared" si="14"/>
        <v>0.40377599999999997</v>
      </c>
      <c r="G89" s="107">
        <f t="shared" si="15"/>
        <v>0.396684855222702</v>
      </c>
      <c r="H89" s="13">
        <f>IF((A89="90 R Bend"),(VLOOKUP(E89,Data!$A$2:$G$21,2)),IF((A89="Isolation Valve"),(VLOOKUP(E89,Data!$A$2:$G$21,3)),IF((A89="Non Return Valve"),(VLOOKUP(E89,Data!$A$2:$G$21,7)),IF((A89="Tee - Line"),(VLOOKUP(E89,Data!$A$2:$G$21,4)),IF((A89="Tee - Branch"),(VLOOKUP(E89,Data!$A$2:$G$21,5)),IF((A89="Reducer"),(VLOOKUP(E89,Data!$A$2:$G$21,6)),""))))))</f>
        <v>0.53</v>
      </c>
      <c r="I89" s="74">
        <f t="shared" si="16"/>
        <v>0.060659225463867185</v>
      </c>
      <c r="J89" s="14">
        <v>2</v>
      </c>
      <c r="K89" s="15">
        <f t="shared" si="17"/>
        <v>0.06429877899169922</v>
      </c>
      <c r="L89" s="16"/>
      <c r="M89" s="183" t="s">
        <v>194</v>
      </c>
      <c r="N89" s="184"/>
      <c r="O89" s="1"/>
      <c r="P89" s="17"/>
      <c r="Q89" s="6"/>
      <c r="R89" s="123">
        <v>6.4</v>
      </c>
    </row>
    <row r="90" spans="1:18" ht="12.75">
      <c r="A90" s="176" t="s">
        <v>88</v>
      </c>
      <c r="B90" s="177"/>
      <c r="C90" s="121"/>
      <c r="D90" s="11" t="s">
        <v>11</v>
      </c>
      <c r="E90" s="11">
        <v>40</v>
      </c>
      <c r="F90" s="12">
        <f t="shared" si="14"/>
        <v>0.40377599999999997</v>
      </c>
      <c r="G90" s="107">
        <f t="shared" si="15"/>
        <v>0.396684855222702</v>
      </c>
      <c r="H90" s="13">
        <v>9</v>
      </c>
      <c r="I90" s="74">
        <f t="shared" si="16"/>
        <v>0.060659225463867185</v>
      </c>
      <c r="J90" s="14">
        <v>2</v>
      </c>
      <c r="K90" s="15">
        <f t="shared" si="17"/>
        <v>1.0918660583496094</v>
      </c>
      <c r="L90" s="16"/>
      <c r="M90" s="183" t="s">
        <v>194</v>
      </c>
      <c r="N90" s="184"/>
      <c r="O90" s="1"/>
      <c r="P90" s="17"/>
      <c r="Q90" s="6"/>
      <c r="R90" s="123">
        <v>6.4</v>
      </c>
    </row>
    <row r="91" spans="1:18" ht="12.75">
      <c r="A91" s="176" t="s">
        <v>53</v>
      </c>
      <c r="B91" s="177"/>
      <c r="C91" s="121"/>
      <c r="D91" s="11" t="s">
        <v>11</v>
      </c>
      <c r="E91" s="11">
        <v>65</v>
      </c>
      <c r="F91" s="12">
        <f t="shared" si="14"/>
        <v>0.40377599999999997</v>
      </c>
      <c r="G91" s="107">
        <f t="shared" si="15"/>
        <v>0.1381627470254898</v>
      </c>
      <c r="H91" s="13">
        <f>IF((A91="90 R Bend"),(VLOOKUP(E91,Data!$A$2:$G$21,2)),IF((A91="Isolation Valve"),(VLOOKUP(E91,Data!$A$2:$G$21,3)),IF((A91="Non Return Valve"),(VLOOKUP(E91,Data!$A$2:$G$21,7)),IF((A91="Tee - Line"),(VLOOKUP(E91,Data!$A$2:$G$21,4)),IF((A91="Tee - Branch"),(VLOOKUP(E91,Data!$A$2:$G$21,5)),IF((A91="Reducer"),(VLOOKUP(E91,Data!$A$2:$G$21,6)),""))))))</f>
        <v>1.35</v>
      </c>
      <c r="I91" s="74">
        <f t="shared" si="16"/>
        <v>0.004589386940002441</v>
      </c>
      <c r="J91" s="14">
        <v>2</v>
      </c>
      <c r="K91" s="15">
        <f t="shared" si="17"/>
        <v>0.012391344738006592</v>
      </c>
      <c r="L91" s="16"/>
      <c r="M91" s="183" t="s">
        <v>195</v>
      </c>
      <c r="N91" s="184"/>
      <c r="O91" s="1"/>
      <c r="P91" s="17"/>
      <c r="Q91" s="6"/>
      <c r="R91" s="123">
        <v>6.4</v>
      </c>
    </row>
    <row r="92" spans="1:18" ht="12.75">
      <c r="A92" s="176" t="s">
        <v>88</v>
      </c>
      <c r="B92" s="177"/>
      <c r="C92" s="121"/>
      <c r="D92" s="11" t="s">
        <v>11</v>
      </c>
      <c r="E92" s="11">
        <v>40</v>
      </c>
      <c r="F92" s="12">
        <f>R92*0.06309</f>
        <v>0.40377599999999997</v>
      </c>
      <c r="G92" s="107">
        <f>IF((E92=""),"",(FluidVel(E92,F92)))</f>
        <v>0.396684855222702</v>
      </c>
      <c r="H92" s="13">
        <v>9</v>
      </c>
      <c r="I92" s="74">
        <f>IF((E92=""),"",(PipePressureDrop(E92,F92))/1000)</f>
        <v>0.060659225463867185</v>
      </c>
      <c r="J92" s="14">
        <v>2</v>
      </c>
      <c r="K92" s="15">
        <f t="shared" si="17"/>
        <v>1.0918660583496094</v>
      </c>
      <c r="L92" s="16"/>
      <c r="M92" s="183" t="s">
        <v>194</v>
      </c>
      <c r="N92" s="184"/>
      <c r="O92" s="1"/>
      <c r="P92" s="17"/>
      <c r="Q92" s="6"/>
      <c r="R92" s="123">
        <v>6.4</v>
      </c>
    </row>
    <row r="93" spans="1:18" ht="12.75">
      <c r="A93" s="176" t="s">
        <v>53</v>
      </c>
      <c r="B93" s="177"/>
      <c r="C93" s="121"/>
      <c r="D93" s="11" t="s">
        <v>11</v>
      </c>
      <c r="E93" s="11">
        <v>65</v>
      </c>
      <c r="F93" s="12">
        <f>R93*0.06309</f>
        <v>0.40377599999999997</v>
      </c>
      <c r="G93" s="107">
        <f>IF((E93=""),"",(FluidVel(E93,F93)))</f>
        <v>0.1381627470254898</v>
      </c>
      <c r="H93" s="13">
        <f>IF((A93="90 R Bend"),(VLOOKUP(E93,Data!$A$2:$G$21,2)),IF((A93="Isolation Valve"),(VLOOKUP(E93,Data!$A$2:$G$21,3)),IF((A93="Non Return Valve"),(VLOOKUP(E93,Data!$A$2:$G$21,7)),IF((A93="Tee - Line"),(VLOOKUP(E93,Data!$A$2:$G$21,4)),IF((A93="Tee - Branch"),(VLOOKUP(E93,Data!$A$2:$G$21,5)),IF((A93="Reducer"),(VLOOKUP(E93,Data!$A$2:$G$21,6)),""))))))</f>
        <v>1.35</v>
      </c>
      <c r="I93" s="74">
        <f>IF((E93=""),"",(PipePressureDrop(E93,F93))/1000)</f>
        <v>0.004589386940002441</v>
      </c>
      <c r="J93" s="14">
        <v>2</v>
      </c>
      <c r="K93" s="15">
        <f t="shared" si="17"/>
        <v>0.012391344738006592</v>
      </c>
      <c r="L93" s="16"/>
      <c r="M93" s="183" t="s">
        <v>195</v>
      </c>
      <c r="N93" s="184"/>
      <c r="O93" s="1"/>
      <c r="P93" s="17"/>
      <c r="Q93" s="6"/>
      <c r="R93" s="123">
        <v>6.4</v>
      </c>
    </row>
    <row r="94" spans="1:18" ht="12.75">
      <c r="A94" s="176" t="s">
        <v>88</v>
      </c>
      <c r="B94" s="177"/>
      <c r="C94" s="121"/>
      <c r="D94" s="11" t="s">
        <v>11</v>
      </c>
      <c r="E94" s="11">
        <v>40</v>
      </c>
      <c r="F94" s="12">
        <f>R94*0.06309</f>
        <v>0.40377599999999997</v>
      </c>
      <c r="G94" s="107">
        <f>IF((E94=""),"",(FluidVel(E94,F94)))</f>
        <v>0.396684855222702</v>
      </c>
      <c r="H94" s="13">
        <v>9</v>
      </c>
      <c r="I94" s="74">
        <f>IF((E94=""),"",(PipePressureDrop(E94,F94))/1000)</f>
        <v>0.060659225463867185</v>
      </c>
      <c r="J94" s="14">
        <v>2</v>
      </c>
      <c r="K94" s="15">
        <f t="shared" si="17"/>
        <v>1.0918660583496094</v>
      </c>
      <c r="L94" s="16"/>
      <c r="M94" s="183" t="s">
        <v>194</v>
      </c>
      <c r="N94" s="184"/>
      <c r="O94" s="1"/>
      <c r="P94" s="17"/>
      <c r="Q94" s="6"/>
      <c r="R94" s="123">
        <v>6.4</v>
      </c>
    </row>
    <row r="95" spans="1:21" ht="12.75">
      <c r="A95" s="176" t="s">
        <v>88</v>
      </c>
      <c r="B95" s="177"/>
      <c r="C95" s="121"/>
      <c r="D95" s="11" t="s">
        <v>11</v>
      </c>
      <c r="E95" s="11">
        <v>40</v>
      </c>
      <c r="F95" s="12">
        <f t="shared" si="14"/>
        <v>0.40377599999999997</v>
      </c>
      <c r="G95" s="107">
        <f t="shared" si="15"/>
        <v>0.396684855222702</v>
      </c>
      <c r="H95" s="13">
        <v>9</v>
      </c>
      <c r="I95" s="74">
        <f t="shared" si="16"/>
        <v>0.060659225463867185</v>
      </c>
      <c r="J95" s="14">
        <v>2</v>
      </c>
      <c r="K95" s="15">
        <f t="shared" si="17"/>
        <v>1.0918660583496094</v>
      </c>
      <c r="L95" s="16">
        <f>+SUM(K53:K95)</f>
        <v>45.85203649693491</v>
      </c>
      <c r="M95" s="213"/>
      <c r="N95" s="214"/>
      <c r="O95" s="1"/>
      <c r="P95" s="17"/>
      <c r="Q95" s="6"/>
      <c r="R95" s="123">
        <v>6.4</v>
      </c>
      <c r="T95" s="117">
        <f>L95*0.334553</f>
        <v>15.339936366159064</v>
      </c>
      <c r="U95" s="115" t="s">
        <v>166</v>
      </c>
    </row>
    <row r="96" spans="1:17" ht="12.75">
      <c r="A96" s="161"/>
      <c r="B96" s="162"/>
      <c r="C96" s="121"/>
      <c r="D96" s="11"/>
      <c r="E96" s="11"/>
      <c r="F96" s="12"/>
      <c r="G96" s="107">
        <f>IF((E96=""),"",(FluidVel(E96,F96)))</f>
      </c>
      <c r="H96" s="13">
        <f>IF((A96="90 R Bend"),(VLOOKUP(E96,Data!$A$2:$G$21,2)),IF((A96="Isolation Valve"),(VLOOKUP(E96,Data!$A$2:$G$21,3)),IF((A96="Non Return Valve"),(VLOOKUP(E96,Data!$A$2:$G$21,7)),IF((A96="Tee - Line"),(VLOOKUP(E96,Data!$A$2:$G$21,4)),IF((A96="Tee - Branch"),(VLOOKUP(E96,Data!$A$2:$G$21,5)),IF((A96="Reducer"),(VLOOKUP(E96,Data!$A$2:$G$21,6)),""))))))</f>
      </c>
      <c r="I96" s="74">
        <f>IF((E96=""),"",(PipePressureDrop(E96,F96))/1000)</f>
      </c>
      <c r="J96" s="14"/>
      <c r="K96" s="15">
        <f t="shared" si="17"/>
      </c>
      <c r="L96" s="16">
        <f>L95+L51</f>
        <v>91.1049479004383</v>
      </c>
      <c r="M96" s="180"/>
      <c r="N96" s="179"/>
      <c r="O96" s="1"/>
      <c r="P96" s="17"/>
      <c r="Q96" s="6"/>
    </row>
    <row r="97" spans="1:17" ht="12.75">
      <c r="A97" s="181" t="s">
        <v>196</v>
      </c>
      <c r="B97" s="182"/>
      <c r="C97" s="120"/>
      <c r="D97" s="11"/>
      <c r="E97" s="11"/>
      <c r="F97" s="12"/>
      <c r="G97" s="107">
        <f t="shared" si="15"/>
      </c>
      <c r="H97" s="13">
        <f>IF((A97="90 R Bend"),(VLOOKUP(E97,Data!$A$2:$G$21,2)),IF((A97="Isolation Valve"),(VLOOKUP(E97,Data!$A$2:$G$21,3)),IF((A97="Non Return Valve"),(VLOOKUP(E97,Data!$A$2:$G$21,7)),IF((A97="Tee - Line"),(VLOOKUP(E97,Data!$A$2:$G$21,4)),IF((A97="Tee - Branch"),(VLOOKUP(E97,Data!$A$2:$G$21,5)),IF((A97="Reducer"),(VLOOKUP(E97,Data!$A$2:$G$21,6)),""))))))</f>
      </c>
      <c r="I97" s="74">
        <f t="shared" si="16"/>
      </c>
      <c r="J97" s="14"/>
      <c r="K97" s="15">
        <f t="shared" si="17"/>
      </c>
      <c r="L97" s="16"/>
      <c r="M97" s="180"/>
      <c r="N97" s="179"/>
      <c r="O97" s="1"/>
      <c r="P97" s="17"/>
      <c r="Q97" s="6"/>
    </row>
    <row r="98" spans="1:18" ht="12.75">
      <c r="A98" s="176" t="s">
        <v>90</v>
      </c>
      <c r="B98" s="177"/>
      <c r="C98" s="121"/>
      <c r="D98" s="11" t="s">
        <v>11</v>
      </c>
      <c r="E98" s="11">
        <v>40</v>
      </c>
      <c r="F98" s="12">
        <f aca="true" t="shared" si="21" ref="F98:F107">R98*0.06309</f>
        <v>0.40377599999999997</v>
      </c>
      <c r="G98" s="107">
        <f t="shared" si="15"/>
        <v>0.396684855222702</v>
      </c>
      <c r="H98" s="13">
        <f>IF((A98="90 R Bend"),(VLOOKUP(E98,Data!$A$2:$G$21,2)),IF((A98="Isolation Valve"),(VLOOKUP(E98,Data!$A$2:$G$21,3)),IF((A98="Non Return Valve"),(VLOOKUP(E98,Data!$A$2:$G$21,7)),IF((A98="Tee - Line"),(VLOOKUP(E98,Data!$A$2:$G$21,4)),IF((A98="Tee - Branch"),(VLOOKUP(E98,Data!$A$2:$G$21,5)),IF((A98="Reducer"),(VLOOKUP(E98,Data!$A$2:$G$21,6)),""))))))</f>
      </c>
      <c r="I98" s="74">
        <f t="shared" si="16"/>
        <v>0.060659225463867185</v>
      </c>
      <c r="J98" s="14">
        <v>1</v>
      </c>
      <c r="K98" s="116">
        <v>15</v>
      </c>
      <c r="L98" s="16"/>
      <c r="M98" s="180" t="s">
        <v>151</v>
      </c>
      <c r="N98" s="179"/>
      <c r="O98" s="1"/>
      <c r="P98" s="17"/>
      <c r="Q98" s="6"/>
      <c r="R98" s="123">
        <v>6.4</v>
      </c>
    </row>
    <row r="99" spans="1:18" ht="12.75">
      <c r="A99" s="176" t="s">
        <v>110</v>
      </c>
      <c r="B99" s="177"/>
      <c r="C99" s="121"/>
      <c r="D99" s="11" t="s">
        <v>11</v>
      </c>
      <c r="E99" s="11">
        <v>40</v>
      </c>
      <c r="F99" s="12">
        <f t="shared" si="21"/>
        <v>0.40377599999999997</v>
      </c>
      <c r="G99" s="107">
        <f t="shared" si="15"/>
        <v>0.396684855222702</v>
      </c>
      <c r="H99" s="13">
        <f>IF((A99="90 R Bend"),(VLOOKUP(E99,Data!$A$2:$G$21,2)),IF((A99="Isolation Valve"),(VLOOKUP(E99,Data!$A$2:$G$21,3)),IF((A99="Non Return Valve"),(VLOOKUP(E99,Data!$A$2:$G$21,7)),IF((A99="Tee - Line"),(VLOOKUP(E99,Data!$A$2:$G$21,4)),IF((A99="Tee - Branch"),(VLOOKUP(E99,Data!$A$2:$G$21,5)),IF((A99="Reducer"),(VLOOKUP(E99,Data!$A$2:$G$21,6)),""))))))</f>
        <v>0.53</v>
      </c>
      <c r="I99" s="74">
        <f t="shared" si="16"/>
        <v>0.060659225463867185</v>
      </c>
      <c r="J99" s="14">
        <v>1</v>
      </c>
      <c r="K99" s="15">
        <f>IF(AND(I99="",H99=""),"",(J99*I99*H99))</f>
        <v>0.03214938949584961</v>
      </c>
      <c r="L99" s="16"/>
      <c r="M99" s="180" t="s">
        <v>152</v>
      </c>
      <c r="N99" s="179"/>
      <c r="O99" s="1"/>
      <c r="P99" s="17"/>
      <c r="Q99" s="6"/>
      <c r="R99" s="123">
        <v>6.4</v>
      </c>
    </row>
    <row r="100" spans="1:18" ht="12.75">
      <c r="A100" s="176" t="s">
        <v>77</v>
      </c>
      <c r="B100" s="177"/>
      <c r="C100" s="121"/>
      <c r="D100" s="11" t="s">
        <v>11</v>
      </c>
      <c r="E100" s="11">
        <v>40</v>
      </c>
      <c r="F100" s="12">
        <f t="shared" si="21"/>
        <v>0.40377599999999997</v>
      </c>
      <c r="G100" s="107">
        <f t="shared" si="15"/>
        <v>0.396684855222702</v>
      </c>
      <c r="H100" s="13">
        <f>IF((A100="90 R Bend"),(VLOOKUP(E100,Data!$A$2:$G$21,2)),IF((A100="Isolation Valve"),(VLOOKUP(E100,Data!$A$2:$G$21,3)),IF((A100="Non Return Valve"),(VLOOKUP(E100,Data!$A$2:$G$21,7)),IF((A100="Tee - Line"),(VLOOKUP(E100,Data!$A$2:$G$21,4)),IF((A100="Tee - Branch"),(VLOOKUP(E100,Data!$A$2:$G$21,5)),IF((A100="Reducer"),(VLOOKUP(E100,Data!$A$2:$G$21,6)),""))))))</f>
      </c>
      <c r="I100" s="74">
        <f t="shared" si="16"/>
        <v>0.060659225463867185</v>
      </c>
      <c r="J100" s="14">
        <v>1</v>
      </c>
      <c r="K100" s="116">
        <v>20</v>
      </c>
      <c r="L100" s="16"/>
      <c r="M100" s="180" t="s">
        <v>163</v>
      </c>
      <c r="N100" s="179"/>
      <c r="O100" s="1"/>
      <c r="P100" s="17"/>
      <c r="Q100" s="6"/>
      <c r="R100" s="123">
        <v>6.4</v>
      </c>
    </row>
    <row r="101" spans="1:18" ht="12.75">
      <c r="A101" s="176" t="s">
        <v>110</v>
      </c>
      <c r="B101" s="177"/>
      <c r="C101" s="121"/>
      <c r="D101" s="11" t="s">
        <v>11</v>
      </c>
      <c r="E101" s="11">
        <v>40</v>
      </c>
      <c r="F101" s="12">
        <f t="shared" si="21"/>
        <v>0.40377599999999997</v>
      </c>
      <c r="G101" s="107">
        <f t="shared" si="15"/>
        <v>0.396684855222702</v>
      </c>
      <c r="H101" s="13">
        <f>IF((A101="90 R Bend"),(VLOOKUP(E101,Data!$A$2:$G$21,2)),IF((A101="Isolation Valve"),(VLOOKUP(E101,Data!$A$2:$G$21,3)),IF((A101="Non Return Valve"),(VLOOKUP(E101,Data!$A$2:$G$21,7)),IF((A101="Tee - Line"),(VLOOKUP(E101,Data!$A$2:$G$21,4)),IF((A101="Tee - Branch"),(VLOOKUP(E101,Data!$A$2:$G$21,5)),IF((A101="Reducer"),(VLOOKUP(E101,Data!$A$2:$G$21,6)),""))))))</f>
        <v>0.53</v>
      </c>
      <c r="I101" s="74">
        <f t="shared" si="16"/>
        <v>0.060659225463867185</v>
      </c>
      <c r="J101" s="14">
        <v>1</v>
      </c>
      <c r="K101" s="15">
        <f>IF(AND(I101="",H101=""),"",(J101*I101*H101))</f>
        <v>0.03214938949584961</v>
      </c>
      <c r="L101" s="16"/>
      <c r="M101" s="180" t="s">
        <v>153</v>
      </c>
      <c r="N101" s="179"/>
      <c r="O101" s="1"/>
      <c r="P101" s="17"/>
      <c r="Q101" s="6"/>
      <c r="R101" s="123">
        <v>6.4</v>
      </c>
    </row>
    <row r="102" spans="1:18" ht="12.75">
      <c r="A102" s="176" t="s">
        <v>56</v>
      </c>
      <c r="B102" s="177"/>
      <c r="C102" s="121"/>
      <c r="D102" s="11" t="s">
        <v>11</v>
      </c>
      <c r="E102" s="11">
        <v>40</v>
      </c>
      <c r="F102" s="12">
        <f t="shared" si="21"/>
        <v>0.40377599999999997</v>
      </c>
      <c r="G102" s="107">
        <f t="shared" si="15"/>
        <v>0.396684855222702</v>
      </c>
      <c r="H102" s="13">
        <f>IF((A102="90 R Bend"),(VLOOKUP(E102,Data!$A$2:$G$21,2)),IF((A102="Isolation Valve"),(VLOOKUP(E102,Data!$A$2:$G$21,3)),IF((A102="Non Return Valve"),(VLOOKUP(E102,Data!$A$2:$G$21,7)),IF((A102="Tee - Line"),(VLOOKUP(E102,Data!$A$2:$G$21,4)),IF((A102="Tee - Branch"),(VLOOKUP(E102,Data!$A$2:$G$21,5)),IF((A102="Reducer"),(VLOOKUP(E102,Data!$A$2:$G$21,6)),""))))))</f>
        <v>0.79</v>
      </c>
      <c r="I102" s="74">
        <f t="shared" si="16"/>
        <v>0.060659225463867185</v>
      </c>
      <c r="J102" s="14">
        <v>1</v>
      </c>
      <c r="K102" s="15">
        <f>IF(AND(I102="",H102=""),"",(J102*I102*H102))</f>
        <v>0.04792078811645508</v>
      </c>
      <c r="L102" s="16"/>
      <c r="M102" s="180" t="s">
        <v>154</v>
      </c>
      <c r="N102" s="179"/>
      <c r="O102" s="1"/>
      <c r="P102" s="17"/>
      <c r="Q102" s="6"/>
      <c r="R102" s="123">
        <v>6.4</v>
      </c>
    </row>
    <row r="103" spans="1:18" ht="12.75">
      <c r="A103" s="176" t="s">
        <v>110</v>
      </c>
      <c r="B103" s="177"/>
      <c r="C103" s="121"/>
      <c r="D103" s="11" t="s">
        <v>11</v>
      </c>
      <c r="E103" s="11">
        <v>40</v>
      </c>
      <c r="F103" s="12">
        <f t="shared" si="21"/>
        <v>0.40377599999999997</v>
      </c>
      <c r="G103" s="107">
        <f t="shared" si="15"/>
        <v>0.396684855222702</v>
      </c>
      <c r="H103" s="13">
        <f>IF((A103="90 R Bend"),(VLOOKUP(E103,Data!$A$2:$G$21,2)),IF((A103="Isolation Valve"),(VLOOKUP(E103,Data!$A$2:$G$21,3)),IF((A103="Non Return Valve"),(VLOOKUP(E103,Data!$A$2:$G$21,7)),IF((A103="Tee - Line"),(VLOOKUP(E103,Data!$A$2:$G$21,4)),IF((A103="Tee - Branch"),(VLOOKUP(E103,Data!$A$2:$G$21,5)),IF((A103="Reducer"),(VLOOKUP(E103,Data!$A$2:$G$21,6)),""))))))</f>
        <v>0.53</v>
      </c>
      <c r="I103" s="74">
        <f t="shared" si="16"/>
        <v>0.060659225463867185</v>
      </c>
      <c r="J103" s="14">
        <v>1</v>
      </c>
      <c r="K103" s="15">
        <f>IF(AND(I103="",H103=""),"",(J103*I103*H103))</f>
        <v>0.03214938949584961</v>
      </c>
      <c r="L103" s="16"/>
      <c r="M103" s="180" t="s">
        <v>155</v>
      </c>
      <c r="N103" s="179"/>
      <c r="O103" s="1"/>
      <c r="P103" s="17">
        <f>IF((G103&gt;0),((1.265*(((((G103/1000)*(H103/1000))^3)/((G103/1000)+(H103/1000)))^0.2))),(I103/1000))</f>
        <v>0.0005038914696506449</v>
      </c>
      <c r="Q103" s="6">
        <f>IF(P103&gt;0,(3.14159*((P103^2)/4)),"")</f>
        <v>1.9941761923029083E-07</v>
      </c>
      <c r="R103" s="123">
        <v>6.4</v>
      </c>
    </row>
    <row r="104" spans="1:18" ht="12.75">
      <c r="A104" s="176" t="s">
        <v>71</v>
      </c>
      <c r="B104" s="177"/>
      <c r="C104" s="121"/>
      <c r="D104" s="11" t="s">
        <v>11</v>
      </c>
      <c r="E104" s="11">
        <v>40</v>
      </c>
      <c r="F104" s="12">
        <f t="shared" si="21"/>
        <v>0.40377599999999997</v>
      </c>
      <c r="G104" s="107">
        <f t="shared" si="15"/>
        <v>0.396684855222702</v>
      </c>
      <c r="H104" s="13">
        <f>IF((A104="90 R Bend"),(VLOOKUP(E104,Data!$A$2:$G$21,2)),IF((A104="Isolation Valve"),(VLOOKUP(E104,Data!$A$2:$G$21,3)),IF((A104="Non Return Valve"),(VLOOKUP(E104,Data!$A$2:$G$21,7)),IF((A104="Tee - Line"),(VLOOKUP(E104,Data!$A$2:$G$21,4)),IF((A104="Tee - Branch"),(VLOOKUP(E104,Data!$A$2:$G$21,5)),IF((A104="Reducer"),(VLOOKUP(E104,Data!$A$2:$G$21,6)),""))))))</f>
      </c>
      <c r="I104" s="74">
        <f t="shared" si="16"/>
        <v>0.060659225463867185</v>
      </c>
      <c r="J104" s="14">
        <v>1</v>
      </c>
      <c r="K104" s="116">
        <v>20</v>
      </c>
      <c r="L104" s="16"/>
      <c r="M104" s="178" t="s">
        <v>157</v>
      </c>
      <c r="N104" s="179"/>
      <c r="O104" s="1"/>
      <c r="P104" s="17"/>
      <c r="Q104" s="6"/>
      <c r="R104" s="123">
        <v>6.4</v>
      </c>
    </row>
    <row r="105" spans="1:18" ht="12.75">
      <c r="A105" s="176" t="s">
        <v>110</v>
      </c>
      <c r="B105" s="177"/>
      <c r="C105" s="121"/>
      <c r="D105" s="11" t="s">
        <v>11</v>
      </c>
      <c r="E105" s="11">
        <v>40</v>
      </c>
      <c r="F105" s="12">
        <f t="shared" si="21"/>
        <v>0.40377599999999997</v>
      </c>
      <c r="G105" s="107">
        <f t="shared" si="15"/>
        <v>0.396684855222702</v>
      </c>
      <c r="H105" s="13">
        <f>IF((A105="90 R Bend"),(VLOOKUP(E105,Data!$A$2:$G$21,2)),IF((A105="Isolation Valve"),(VLOOKUP(E105,Data!$A$2:$G$21,3)),IF((A105="Non Return Valve"),(VLOOKUP(E105,Data!$A$2:$G$21,7)),IF((A105="Tee - Line"),(VLOOKUP(E105,Data!$A$2:$G$21,4)),IF((A105="Tee - Branch"),(VLOOKUP(E105,Data!$A$2:$G$21,5)),IF((A105="Reducer"),(VLOOKUP(E105,Data!$A$2:$G$21,6)),""))))))</f>
        <v>0.53</v>
      </c>
      <c r="I105" s="74">
        <f t="shared" si="16"/>
        <v>0.060659225463867185</v>
      </c>
      <c r="J105" s="14">
        <v>1</v>
      </c>
      <c r="K105" s="15">
        <f>IF(AND(I105="",H105=""),"",(J105*I105*H105))</f>
        <v>0.03214938949584961</v>
      </c>
      <c r="L105" s="16"/>
      <c r="M105" s="180" t="s">
        <v>155</v>
      </c>
      <c r="N105" s="179"/>
      <c r="O105" s="1"/>
      <c r="P105" s="17"/>
      <c r="Q105" s="6"/>
      <c r="R105" s="123">
        <v>6.4</v>
      </c>
    </row>
    <row r="106" spans="1:18" ht="12.75">
      <c r="A106" s="176" t="s">
        <v>56</v>
      </c>
      <c r="B106" s="177"/>
      <c r="C106" s="121"/>
      <c r="D106" s="11" t="s">
        <v>11</v>
      </c>
      <c r="E106" s="11">
        <v>40</v>
      </c>
      <c r="F106" s="12">
        <f t="shared" si="21"/>
        <v>0.40377599999999997</v>
      </c>
      <c r="G106" s="107">
        <f t="shared" si="15"/>
        <v>0.396684855222702</v>
      </c>
      <c r="H106" s="13">
        <f>IF((A106="90 R Bend"),(VLOOKUP(E106,Data!$A$2:$G$21,2)),IF((A106="Isolation Valve"),(VLOOKUP(E106,Data!$A$2:$G$21,3)),IF((A106="Non Return Valve"),(VLOOKUP(E106,Data!$A$2:$G$21,7)),IF((A106="Tee - Line"),(VLOOKUP(E106,Data!$A$2:$G$21,4)),IF((A106="Tee - Branch"),(VLOOKUP(E106,Data!$A$2:$G$21,5)),IF((A106="Reducer"),(VLOOKUP(E106,Data!$A$2:$G$21,6)),""))))))</f>
        <v>0.79</v>
      </c>
      <c r="I106" s="74">
        <f t="shared" si="16"/>
        <v>0.060659225463867185</v>
      </c>
      <c r="J106" s="14">
        <v>1</v>
      </c>
      <c r="K106" s="15">
        <f>IF(AND(I106="",H106=""),"",(J106*I106*H106))</f>
        <v>0.04792078811645508</v>
      </c>
      <c r="L106" s="16"/>
      <c r="M106" s="180" t="s">
        <v>154</v>
      </c>
      <c r="N106" s="179"/>
      <c r="O106" s="1"/>
      <c r="P106" s="17"/>
      <c r="Q106" s="6"/>
      <c r="R106" s="123">
        <v>6.4</v>
      </c>
    </row>
    <row r="107" spans="1:21" ht="12.75">
      <c r="A107" s="176" t="s">
        <v>156</v>
      </c>
      <c r="B107" s="177"/>
      <c r="C107" s="121"/>
      <c r="D107" s="11" t="s">
        <v>11</v>
      </c>
      <c r="E107" s="11">
        <v>40</v>
      </c>
      <c r="F107" s="12">
        <f t="shared" si="21"/>
        <v>0.40377599999999997</v>
      </c>
      <c r="G107" s="107">
        <f t="shared" si="15"/>
        <v>0.396684855222702</v>
      </c>
      <c r="H107" s="13">
        <f>IF((A107="90 R Bend"),(VLOOKUP(E107,Data!$A$2:$G$21,2)),IF((A107="Isolation Valve"),(VLOOKUP(E107,Data!$A$2:$G$21,3)),IF((A107="Non Return Valve"),(VLOOKUP(E107,Data!$A$2:$G$21,7)),IF((A107="Tee - Line"),(VLOOKUP(E107,Data!$A$2:$G$21,4)),IF((A107="Tee - Branch"),(VLOOKUP(E107,Data!$A$2:$G$21,5)),IF((A107="Reducer"),(VLOOKUP(E107,Data!$A$2:$G$21,6)),""))))))</f>
      </c>
      <c r="I107" s="74">
        <f t="shared" si="16"/>
        <v>0.060659225463867185</v>
      </c>
      <c r="J107" s="14">
        <v>1</v>
      </c>
      <c r="K107" s="116">
        <v>5</v>
      </c>
      <c r="L107" s="16">
        <f>+SUM(K98:K107)</f>
        <v>60.22443913421631</v>
      </c>
      <c r="M107" s="178" t="s">
        <v>160</v>
      </c>
      <c r="N107" s="179"/>
      <c r="O107" s="1"/>
      <c r="P107" s="17" t="e">
        <f>IF((G107&gt;0),((1.265*(((((G107/1000)*(H107/1000))^3)/((G107/1000)+(H107/1000)))^0.2))),(I107/1000))</f>
        <v>#VALUE!</v>
      </c>
      <c r="Q107" s="6" t="e">
        <f>IF(P107&gt;0,(3.14159*((P107^2)/4)),"")</f>
        <v>#VALUE!</v>
      </c>
      <c r="R107" s="123">
        <v>6.4</v>
      </c>
      <c r="T107" s="117">
        <f>L107*0.334553</f>
        <v>20.14826678566947</v>
      </c>
      <c r="U107" s="115" t="s">
        <v>166</v>
      </c>
    </row>
    <row r="108" spans="1:21" ht="12.75">
      <c r="A108" s="161"/>
      <c r="B108" s="162"/>
      <c r="C108" s="121"/>
      <c r="D108" s="11"/>
      <c r="E108" s="11"/>
      <c r="F108" s="12"/>
      <c r="G108" s="107">
        <f t="shared" si="15"/>
      </c>
      <c r="H108" s="13">
        <f>IF((A108="90 R Bend"),(VLOOKUP(E108,Data!$A$2:$G$21,2)),IF((A108="Isolation Valve"),(VLOOKUP(E108,Data!$A$2:$G$21,3)),IF((A108="Non Return Valve"),(VLOOKUP(E108,Data!$A$2:$G$21,7)),IF((A108="Tee - Line"),(VLOOKUP(E108,Data!$A$2:$G$21,4)),IF((A108="Tee - Branch"),(VLOOKUP(E108,Data!$A$2:$G$21,5)),IF((A108="Reducer"),(VLOOKUP(E108,Data!$A$2:$G$21,6)),""))))))</f>
      </c>
      <c r="I108" s="74">
        <f t="shared" si="16"/>
      </c>
      <c r="J108" s="14"/>
      <c r="K108" s="15">
        <f>IF(AND(I108="",H108=""),"",(J108*I108*H108))</f>
      </c>
      <c r="L108" s="16">
        <f>L96+L107</f>
        <v>151.32938703465462</v>
      </c>
      <c r="M108" s="180"/>
      <c r="N108" s="179"/>
      <c r="O108" s="1"/>
      <c r="P108" s="17" t="e">
        <f>IF((G108&gt;0),((1.265*(((((G108/1000)*(H108/1000))^3)/((G108/1000)+(H108/1000)))^0.2))),(I108/1000))</f>
        <v>#VALUE!</v>
      </c>
      <c r="Q108" s="6" t="e">
        <f>IF(P108&gt;0,(3.14159*((P108^2)/4)),"")</f>
        <v>#VALUE!</v>
      </c>
      <c r="T108" s="117">
        <f>L108*0.334553</f>
        <v>50.6277004206048</v>
      </c>
      <c r="U108" s="115" t="s">
        <v>166</v>
      </c>
    </row>
    <row r="109" spans="1:20" ht="12.75">
      <c r="A109" s="161"/>
      <c r="B109" s="162"/>
      <c r="C109" s="121"/>
      <c r="D109" s="11"/>
      <c r="E109" s="20"/>
      <c r="F109" s="21"/>
      <c r="G109" s="108">
        <f t="shared" si="15"/>
      </c>
      <c r="H109" s="13">
        <f>IF((A109="90 R Bend"),(VLOOKUP(E109,Data!$A$2:$G$21,2)),IF((A109="Isolation Valve"),(VLOOKUP(E109,Data!$A$2:$G$21,3)),IF((A109="Non Return Valve"),(VLOOKUP(E109,Data!$A$2:$G$21,7)),IF((A109="Tee - Line"),(VLOOKUP(E109,Data!$A$2:$G$21,4)),IF((A109="Tee - Branch"),(VLOOKUP(E109,Data!$A$2:$G$21,5)),IF((A109="Reducer"),(VLOOKUP(E109,Data!$A$2:$G$21,6)),""))))))</f>
      </c>
      <c r="I109" s="74">
        <f t="shared" si="16"/>
      </c>
      <c r="J109" s="14"/>
      <c r="K109" s="15">
        <f>IF(AND(I109="",H109=""),"",(J109*I109*H109))</f>
      </c>
      <c r="L109" s="16"/>
      <c r="M109" s="178"/>
      <c r="N109" s="179"/>
      <c r="O109" s="1"/>
      <c r="P109" s="17" t="e">
        <f>IF((G109&gt;0),((1.265*(((((G109/1000)*(H109/1000))^3)/((G109/1000)+(H109/1000)))^0.2))),(I109/1000))</f>
        <v>#VALUE!</v>
      </c>
      <c r="Q109" s="6" t="e">
        <f>IF(P109&gt;0,(3.14159*((P109^2)/4)),"")</f>
        <v>#VALUE!</v>
      </c>
      <c r="T109" s="117"/>
    </row>
    <row r="110" spans="1:15" ht="12.75">
      <c r="A110" s="170"/>
      <c r="B110" s="167"/>
      <c r="C110" s="167"/>
      <c r="D110" s="167"/>
      <c r="E110" s="167"/>
      <c r="F110" s="168"/>
      <c r="G110" s="166" t="s">
        <v>44</v>
      </c>
      <c r="H110" s="167"/>
      <c r="I110" s="167"/>
      <c r="J110" s="168"/>
      <c r="K110" s="22">
        <f>SUM(K14:K109)</f>
        <v>151.32938703465464</v>
      </c>
      <c r="L110" s="90"/>
      <c r="M110" s="91"/>
      <c r="N110" s="97"/>
      <c r="O110" s="1"/>
    </row>
    <row r="111" spans="1:15" ht="12.75">
      <c r="A111" s="98" t="s">
        <v>45</v>
      </c>
      <c r="B111" s="171"/>
      <c r="C111" s="171"/>
      <c r="D111" s="171"/>
      <c r="E111" s="171"/>
      <c r="F111" s="172"/>
      <c r="G111" s="173" t="s">
        <v>46</v>
      </c>
      <c r="H111" s="173"/>
      <c r="I111" s="174">
        <v>0.1</v>
      </c>
      <c r="J111" s="174"/>
      <c r="K111" s="22">
        <f>K110*I111</f>
        <v>15.132938703465465</v>
      </c>
      <c r="L111" s="50"/>
      <c r="M111" s="92"/>
      <c r="N111" s="99"/>
      <c r="O111" s="1"/>
    </row>
    <row r="112" spans="1:18" s="89" customFormat="1" ht="13.5" thickBot="1">
      <c r="A112" s="161"/>
      <c r="B112" s="160"/>
      <c r="C112" s="160"/>
      <c r="D112" s="160"/>
      <c r="E112" s="160"/>
      <c r="F112" s="162"/>
      <c r="G112" s="175" t="s">
        <v>47</v>
      </c>
      <c r="H112" s="172"/>
      <c r="I112" s="175" t="s">
        <v>43</v>
      </c>
      <c r="J112" s="172"/>
      <c r="K112" s="93">
        <f>SUM(K110:K111)</f>
        <v>166.46232573812011</v>
      </c>
      <c r="L112" s="50"/>
      <c r="M112" s="92"/>
      <c r="N112" s="99"/>
      <c r="O112" s="88"/>
      <c r="R112" s="127"/>
    </row>
    <row r="113" spans="1:15" ht="12.75">
      <c r="A113" s="161"/>
      <c r="B113" s="160"/>
      <c r="C113" s="160"/>
      <c r="D113" s="160"/>
      <c r="E113" s="160"/>
      <c r="F113" s="162"/>
      <c r="G113" s="96"/>
      <c r="H113" s="94"/>
      <c r="I113" s="95"/>
      <c r="J113" s="163" t="s">
        <v>48</v>
      </c>
      <c r="K113" s="163"/>
      <c r="L113" s="163"/>
      <c r="M113" s="164" t="s">
        <v>49</v>
      </c>
      <c r="N113" s="165"/>
      <c r="O113" s="1"/>
    </row>
    <row r="114" spans="1:15" ht="12.75">
      <c r="A114" s="161"/>
      <c r="B114" s="160"/>
      <c r="C114" s="160"/>
      <c r="D114" s="160"/>
      <c r="E114" s="160"/>
      <c r="F114" s="162"/>
      <c r="G114" s="166" t="s">
        <v>50</v>
      </c>
      <c r="H114" s="167"/>
      <c r="I114" s="168"/>
      <c r="J114" s="166"/>
      <c r="K114" s="167"/>
      <c r="L114" s="167"/>
      <c r="M114" s="166"/>
      <c r="N114" s="169"/>
      <c r="O114" s="1"/>
    </row>
    <row r="115" spans="1:15" ht="13.5" thickBot="1">
      <c r="A115" s="153"/>
      <c r="B115" s="154"/>
      <c r="C115" s="154"/>
      <c r="D115" s="154"/>
      <c r="E115" s="154"/>
      <c r="F115" s="155"/>
      <c r="G115" s="156" t="s">
        <v>51</v>
      </c>
      <c r="H115" s="157"/>
      <c r="I115" s="158"/>
      <c r="J115" s="156"/>
      <c r="K115" s="157"/>
      <c r="L115" s="157"/>
      <c r="M115" s="156"/>
      <c r="N115" s="159"/>
      <c r="O115" s="1"/>
    </row>
    <row r="116" spans="1:15" ht="12.75">
      <c r="A116" s="160"/>
      <c r="B116" s="160"/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"/>
    </row>
  </sheetData>
  <sheetProtection/>
  <mergeCells count="258">
    <mergeCell ref="A94:B94"/>
    <mergeCell ref="M94:N94"/>
    <mergeCell ref="M93:N93"/>
    <mergeCell ref="A93:B93"/>
    <mergeCell ref="A95:B95"/>
    <mergeCell ref="M95:N95"/>
    <mergeCell ref="A87:B87"/>
    <mergeCell ref="M87:N87"/>
    <mergeCell ref="A88:B88"/>
    <mergeCell ref="M88:N88"/>
    <mergeCell ref="A86:B86"/>
    <mergeCell ref="M86:N86"/>
    <mergeCell ref="A78:B78"/>
    <mergeCell ref="M78:N78"/>
    <mergeCell ref="A79:B79"/>
    <mergeCell ref="M79:N79"/>
    <mergeCell ref="A85:B85"/>
    <mergeCell ref="M85:N85"/>
    <mergeCell ref="A83:B83"/>
    <mergeCell ref="M83:N83"/>
    <mergeCell ref="A82:B82"/>
    <mergeCell ref="M82:N82"/>
    <mergeCell ref="A75:B75"/>
    <mergeCell ref="M75:N75"/>
    <mergeCell ref="A76:B76"/>
    <mergeCell ref="M76:N76"/>
    <mergeCell ref="A77:B77"/>
    <mergeCell ref="M77:N77"/>
    <mergeCell ref="A73:B73"/>
    <mergeCell ref="M73:N73"/>
    <mergeCell ref="A72:B72"/>
    <mergeCell ref="M72:N72"/>
    <mergeCell ref="A74:B74"/>
    <mergeCell ref="M74:N74"/>
    <mergeCell ref="A1:N1"/>
    <mergeCell ref="D2:J2"/>
    <mergeCell ref="A3:J3"/>
    <mergeCell ref="K3:L3"/>
    <mergeCell ref="M3:N3"/>
    <mergeCell ref="D4:F4"/>
    <mergeCell ref="G4:J4"/>
    <mergeCell ref="K4:L4"/>
    <mergeCell ref="M4:N4"/>
    <mergeCell ref="D5:F5"/>
    <mergeCell ref="G5:J5"/>
    <mergeCell ref="L5:N5"/>
    <mergeCell ref="A6:B6"/>
    <mergeCell ref="D6:F6"/>
    <mergeCell ref="G6:J6"/>
    <mergeCell ref="L6:N6"/>
    <mergeCell ref="D7:F7"/>
    <mergeCell ref="G7:J7"/>
    <mergeCell ref="L7:N7"/>
    <mergeCell ref="A8:B8"/>
    <mergeCell ref="D8:F8"/>
    <mergeCell ref="G8:J8"/>
    <mergeCell ref="L8:N8"/>
    <mergeCell ref="A9:B9"/>
    <mergeCell ref="D9:E9"/>
    <mergeCell ref="F9:G9"/>
    <mergeCell ref="H9:I9"/>
    <mergeCell ref="J9:L9"/>
    <mergeCell ref="M9:N9"/>
    <mergeCell ref="A10:B10"/>
    <mergeCell ref="D10:E10"/>
    <mergeCell ref="F10:G10"/>
    <mergeCell ref="H10:I10"/>
    <mergeCell ref="J10:L10"/>
    <mergeCell ref="M10:N10"/>
    <mergeCell ref="A11:B11"/>
    <mergeCell ref="M11:N11"/>
    <mergeCell ref="A12:B12"/>
    <mergeCell ref="M12:N12"/>
    <mergeCell ref="A13:B13"/>
    <mergeCell ref="M13:N13"/>
    <mergeCell ref="M40:N40"/>
    <mergeCell ref="A41:B41"/>
    <mergeCell ref="M41:N41"/>
    <mergeCell ref="A49:B49"/>
    <mergeCell ref="M49:N49"/>
    <mergeCell ref="A48:B48"/>
    <mergeCell ref="M48:N48"/>
    <mergeCell ref="A42:B42"/>
    <mergeCell ref="A35:B35"/>
    <mergeCell ref="M35:N35"/>
    <mergeCell ref="A38:B38"/>
    <mergeCell ref="M38:N38"/>
    <mergeCell ref="C37:C44"/>
    <mergeCell ref="M43:N43"/>
    <mergeCell ref="A37:B37"/>
    <mergeCell ref="A39:B39"/>
    <mergeCell ref="M39:N39"/>
    <mergeCell ref="A40:B40"/>
    <mergeCell ref="A26:B26"/>
    <mergeCell ref="M26:N26"/>
    <mergeCell ref="A27:B27"/>
    <mergeCell ref="M27:N27"/>
    <mergeCell ref="A28:B28"/>
    <mergeCell ref="M28:N28"/>
    <mergeCell ref="A23:B23"/>
    <mergeCell ref="M23:N23"/>
    <mergeCell ref="A24:B24"/>
    <mergeCell ref="M24:N24"/>
    <mergeCell ref="A25:B25"/>
    <mergeCell ref="M25:N25"/>
    <mergeCell ref="C25:C36"/>
    <mergeCell ref="A36:B36"/>
    <mergeCell ref="M36:N36"/>
    <mergeCell ref="M29:N29"/>
    <mergeCell ref="A14:B14"/>
    <mergeCell ref="M14:N14"/>
    <mergeCell ref="A17:B17"/>
    <mergeCell ref="M17:N17"/>
    <mergeCell ref="A16:B16"/>
    <mergeCell ref="M16:N16"/>
    <mergeCell ref="C14:C19"/>
    <mergeCell ref="A18:B18"/>
    <mergeCell ref="M18:N18"/>
    <mergeCell ref="A34:B34"/>
    <mergeCell ref="M34:N34"/>
    <mergeCell ref="A15:B15"/>
    <mergeCell ref="A20:B20"/>
    <mergeCell ref="M20:N20"/>
    <mergeCell ref="A21:B21"/>
    <mergeCell ref="M21:N21"/>
    <mergeCell ref="A22:B22"/>
    <mergeCell ref="M22:N22"/>
    <mergeCell ref="C20:C24"/>
    <mergeCell ref="M42:N42"/>
    <mergeCell ref="M15:N15"/>
    <mergeCell ref="A19:B19"/>
    <mergeCell ref="M19:N19"/>
    <mergeCell ref="A30:B30"/>
    <mergeCell ref="M30:N30"/>
    <mergeCell ref="A31:B31"/>
    <mergeCell ref="M31:N31"/>
    <mergeCell ref="A29:B29"/>
    <mergeCell ref="M37:N37"/>
    <mergeCell ref="M46:N46"/>
    <mergeCell ref="A47:B47"/>
    <mergeCell ref="M47:N47"/>
    <mergeCell ref="A32:B32"/>
    <mergeCell ref="M32:N32"/>
    <mergeCell ref="A33:B33"/>
    <mergeCell ref="M33:N33"/>
    <mergeCell ref="A44:B44"/>
    <mergeCell ref="M44:N44"/>
    <mergeCell ref="A43:B43"/>
    <mergeCell ref="A50:B50"/>
    <mergeCell ref="M50:N50"/>
    <mergeCell ref="A51:B51"/>
    <mergeCell ref="M51:N51"/>
    <mergeCell ref="A52:B52"/>
    <mergeCell ref="M52:N52"/>
    <mergeCell ref="C45:C50"/>
    <mergeCell ref="A45:B45"/>
    <mergeCell ref="M45:N45"/>
    <mergeCell ref="A46:B46"/>
    <mergeCell ref="A66:B66"/>
    <mergeCell ref="M66:N66"/>
    <mergeCell ref="A53:B53"/>
    <mergeCell ref="M53:N53"/>
    <mergeCell ref="A54:B54"/>
    <mergeCell ref="M54:N54"/>
    <mergeCell ref="A56:B56"/>
    <mergeCell ref="M56:N56"/>
    <mergeCell ref="A57:B57"/>
    <mergeCell ref="M57:N57"/>
    <mergeCell ref="A67:B67"/>
    <mergeCell ref="M67:N67"/>
    <mergeCell ref="A68:B68"/>
    <mergeCell ref="M68:N68"/>
    <mergeCell ref="A70:B70"/>
    <mergeCell ref="M70:N70"/>
    <mergeCell ref="A71:B71"/>
    <mergeCell ref="M71:N71"/>
    <mergeCell ref="A91:B91"/>
    <mergeCell ref="M91:N91"/>
    <mergeCell ref="A80:B80"/>
    <mergeCell ref="M80:N80"/>
    <mergeCell ref="A81:B81"/>
    <mergeCell ref="M81:N81"/>
    <mergeCell ref="A84:B84"/>
    <mergeCell ref="M84:N84"/>
    <mergeCell ref="A92:B92"/>
    <mergeCell ref="M92:N92"/>
    <mergeCell ref="A58:B58"/>
    <mergeCell ref="M58:N58"/>
    <mergeCell ref="A69:B69"/>
    <mergeCell ref="M69:N69"/>
    <mergeCell ref="A89:B89"/>
    <mergeCell ref="M89:N89"/>
    <mergeCell ref="A90:B90"/>
    <mergeCell ref="M90:N90"/>
    <mergeCell ref="A96:B96"/>
    <mergeCell ref="M96:N96"/>
    <mergeCell ref="A62:B62"/>
    <mergeCell ref="M62:N62"/>
    <mergeCell ref="A64:B64"/>
    <mergeCell ref="M64:N64"/>
    <mergeCell ref="A65:B65"/>
    <mergeCell ref="M65:N65"/>
    <mergeCell ref="A63:B63"/>
    <mergeCell ref="M63:N63"/>
    <mergeCell ref="A97:B97"/>
    <mergeCell ref="M97:N97"/>
    <mergeCell ref="A55:B55"/>
    <mergeCell ref="M55:N55"/>
    <mergeCell ref="A59:B59"/>
    <mergeCell ref="M59:N59"/>
    <mergeCell ref="A60:B60"/>
    <mergeCell ref="M60:N60"/>
    <mergeCell ref="A61:B61"/>
    <mergeCell ref="M61:N61"/>
    <mergeCell ref="A98:B98"/>
    <mergeCell ref="M98:N98"/>
    <mergeCell ref="A99:B99"/>
    <mergeCell ref="M99:N99"/>
    <mergeCell ref="A100:B100"/>
    <mergeCell ref="M100:N100"/>
    <mergeCell ref="A101:B101"/>
    <mergeCell ref="M101:N101"/>
    <mergeCell ref="A102:B102"/>
    <mergeCell ref="M102:N102"/>
    <mergeCell ref="A103:B103"/>
    <mergeCell ref="M103:N103"/>
    <mergeCell ref="A104:B104"/>
    <mergeCell ref="M104:N104"/>
    <mergeCell ref="A105:B105"/>
    <mergeCell ref="M105:N105"/>
    <mergeCell ref="A106:B106"/>
    <mergeCell ref="M106:N106"/>
    <mergeCell ref="A107:B107"/>
    <mergeCell ref="M107:N107"/>
    <mergeCell ref="A108:B108"/>
    <mergeCell ref="M108:N108"/>
    <mergeCell ref="A109:B109"/>
    <mergeCell ref="M109:N109"/>
    <mergeCell ref="J114:L114"/>
    <mergeCell ref="M114:N114"/>
    <mergeCell ref="A110:F110"/>
    <mergeCell ref="G110:J110"/>
    <mergeCell ref="B111:F111"/>
    <mergeCell ref="G111:H111"/>
    <mergeCell ref="I111:J111"/>
    <mergeCell ref="A112:F112"/>
    <mergeCell ref="G112:H112"/>
    <mergeCell ref="I112:J112"/>
    <mergeCell ref="A115:F115"/>
    <mergeCell ref="G115:I115"/>
    <mergeCell ref="J115:L115"/>
    <mergeCell ref="M115:N115"/>
    <mergeCell ref="A116:N116"/>
    <mergeCell ref="A113:F113"/>
    <mergeCell ref="J113:L113"/>
    <mergeCell ref="M113:N113"/>
    <mergeCell ref="A114:F114"/>
    <mergeCell ref="G114:I114"/>
  </mergeCells>
  <dataValidations count="6">
    <dataValidation type="list" allowBlank="1" showInputMessage="1" sqref="M4:N4">
      <formula1>engineer_s</formula1>
    </dataValidation>
    <dataValidation type="list" allowBlank="1" showInputMessage="1" sqref="D5:F5">
      <formula1>consultant_s</formula1>
    </dataValidation>
    <dataValidation type="list" allowBlank="1" showInputMessage="1" sqref="L6:N8">
      <formula1>pipe_medium_s</formula1>
    </dataValidation>
    <dataValidation type="list" allowBlank="1" showInputMessage="1" sqref="C20 C25 C14 C37 C45 C51:C109 A14:B109">
      <formula1>description___item</formula1>
    </dataValidation>
    <dataValidation type="list" allowBlank="1" showInputMessage="1" sqref="E14:E109">
      <formula1>size</formula1>
    </dataValidation>
    <dataValidation type="list" allowBlank="1" showInputMessage="1" sqref="D14:D109">
      <formula1>"A,B,C"</formula1>
    </dataValidation>
  </dataValidations>
  <printOptions/>
  <pageMargins left="0.37" right="0.15748031496062992" top="0.44" bottom="0" header="0.22" footer="0.4"/>
  <pageSetup horizontalDpi="600" verticalDpi="600" orientation="portrait" paperSize="9" scale="83" r:id="rId3"/>
  <headerFooter alignWithMargins="0">
    <oddHeader>&amp;RENG03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7" width="9.140625" style="7" customWidth="1"/>
    <col min="8" max="9" width="12.7109375" style="7" customWidth="1"/>
    <col min="10" max="43" width="9.140625" style="82" customWidth="1"/>
  </cols>
  <sheetData>
    <row r="1" spans="1:15" ht="12.75">
      <c r="A1" s="79" t="s">
        <v>135</v>
      </c>
      <c r="B1" s="80" t="s">
        <v>111</v>
      </c>
      <c r="C1" s="80" t="s">
        <v>112</v>
      </c>
      <c r="D1" s="80" t="s">
        <v>114</v>
      </c>
      <c r="E1" s="80" t="s">
        <v>115</v>
      </c>
      <c r="F1" s="81" t="s">
        <v>116</v>
      </c>
      <c r="G1" s="81" t="s">
        <v>113</v>
      </c>
      <c r="H1" s="81" t="s">
        <v>117</v>
      </c>
      <c r="I1" s="81" t="s">
        <v>120</v>
      </c>
      <c r="K1" s="215" t="s">
        <v>90</v>
      </c>
      <c r="L1" s="216"/>
      <c r="N1" s="111" t="s">
        <v>133</v>
      </c>
      <c r="O1" s="112" t="s">
        <v>134</v>
      </c>
    </row>
    <row r="2" spans="1:15" ht="12.75">
      <c r="A2" s="39">
        <v>15</v>
      </c>
      <c r="B2" s="18">
        <v>0.3</v>
      </c>
      <c r="C2" s="18">
        <v>0.21</v>
      </c>
      <c r="D2" s="18">
        <v>0.3</v>
      </c>
      <c r="E2" s="18">
        <v>0.92</v>
      </c>
      <c r="F2" s="84">
        <v>0.21</v>
      </c>
      <c r="G2" s="84">
        <v>1.9</v>
      </c>
      <c r="H2" s="84">
        <v>0.25</v>
      </c>
      <c r="I2" s="84">
        <v>0.9</v>
      </c>
      <c r="K2" s="100">
        <v>15</v>
      </c>
      <c r="L2" s="101">
        <v>61.188</v>
      </c>
      <c r="N2" s="109">
        <v>0.16</v>
      </c>
      <c r="O2" s="113">
        <v>15</v>
      </c>
    </row>
    <row r="3" spans="1:15" ht="12.75">
      <c r="A3" s="39">
        <v>20</v>
      </c>
      <c r="B3" s="18">
        <v>0.42</v>
      </c>
      <c r="C3" s="18">
        <v>0.27</v>
      </c>
      <c r="D3" s="18">
        <v>0.42</v>
      </c>
      <c r="E3" s="18">
        <v>1.26</v>
      </c>
      <c r="F3" s="85">
        <v>0.27</v>
      </c>
      <c r="G3" s="85">
        <v>2.15</v>
      </c>
      <c r="H3" s="85">
        <v>0.4</v>
      </c>
      <c r="I3" s="85">
        <v>1.6</v>
      </c>
      <c r="K3" s="100">
        <v>20</v>
      </c>
      <c r="L3" s="101">
        <v>19.638</v>
      </c>
      <c r="N3" s="109">
        <v>0.25</v>
      </c>
      <c r="O3" s="113">
        <v>15</v>
      </c>
    </row>
    <row r="4" spans="1:15" ht="12.75">
      <c r="A4" s="39">
        <v>25</v>
      </c>
      <c r="B4" s="18">
        <v>0.54</v>
      </c>
      <c r="C4" s="18">
        <v>0.3</v>
      </c>
      <c r="D4" s="18">
        <v>0.51</v>
      </c>
      <c r="E4" s="18">
        <v>1.52</v>
      </c>
      <c r="F4" s="85">
        <v>0.3</v>
      </c>
      <c r="G4" s="85">
        <v>3</v>
      </c>
      <c r="H4" s="85">
        <v>0.46</v>
      </c>
      <c r="I4" s="85">
        <v>1.8</v>
      </c>
      <c r="K4" s="100">
        <v>25</v>
      </c>
      <c r="L4" s="101">
        <v>7.875</v>
      </c>
      <c r="N4" s="109">
        <v>0.4</v>
      </c>
      <c r="O4" s="113">
        <v>15</v>
      </c>
    </row>
    <row r="5" spans="1:15" ht="12.75">
      <c r="A5" s="39">
        <v>32</v>
      </c>
      <c r="B5" s="18">
        <v>0.71</v>
      </c>
      <c r="C5" s="18">
        <v>0.46</v>
      </c>
      <c r="D5" s="18">
        <v>0.7</v>
      </c>
      <c r="E5" s="18">
        <v>2.1</v>
      </c>
      <c r="F5" s="85">
        <v>0.46</v>
      </c>
      <c r="G5" s="85">
        <v>4.26</v>
      </c>
      <c r="H5" s="85">
        <v>0.66</v>
      </c>
      <c r="I5" s="85">
        <v>2.07</v>
      </c>
      <c r="K5" s="100">
        <v>32</v>
      </c>
      <c r="L5" s="101">
        <v>2.85</v>
      </c>
      <c r="N5" s="109">
        <v>0.63</v>
      </c>
      <c r="O5" s="113">
        <v>15</v>
      </c>
    </row>
    <row r="6" spans="1:15" ht="12.75">
      <c r="A6" s="39">
        <v>40</v>
      </c>
      <c r="B6" s="18">
        <v>0.79</v>
      </c>
      <c r="C6" s="18">
        <v>0.53</v>
      </c>
      <c r="D6" s="18">
        <v>0.79</v>
      </c>
      <c r="E6" s="18">
        <v>2.44</v>
      </c>
      <c r="F6" s="85">
        <v>0.53</v>
      </c>
      <c r="G6" s="85">
        <v>4.9</v>
      </c>
      <c r="H6" s="85">
        <v>0.8</v>
      </c>
      <c r="I6" s="85">
        <v>3.05</v>
      </c>
      <c r="K6" s="100">
        <v>40</v>
      </c>
      <c r="L6" s="101">
        <v>1.45</v>
      </c>
      <c r="N6" s="109">
        <v>1</v>
      </c>
      <c r="O6" s="113">
        <v>15</v>
      </c>
    </row>
    <row r="7" spans="1:15" ht="12.75">
      <c r="A7" s="39">
        <v>50</v>
      </c>
      <c r="B7" s="18">
        <v>1</v>
      </c>
      <c r="C7" s="18">
        <v>0.7</v>
      </c>
      <c r="D7" s="18">
        <v>1</v>
      </c>
      <c r="E7" s="18">
        <v>3.04</v>
      </c>
      <c r="F7" s="85">
        <v>0.7</v>
      </c>
      <c r="G7" s="85">
        <v>6</v>
      </c>
      <c r="H7" s="85">
        <v>0.98</v>
      </c>
      <c r="I7" s="85">
        <v>4.2</v>
      </c>
      <c r="K7" s="100">
        <v>50</v>
      </c>
      <c r="L7" s="101">
        <v>0.5365</v>
      </c>
      <c r="N7" s="109">
        <v>1.6</v>
      </c>
      <c r="O7" s="113">
        <v>15</v>
      </c>
    </row>
    <row r="8" spans="1:15" ht="12.75">
      <c r="A8" s="39">
        <v>65</v>
      </c>
      <c r="B8" s="18">
        <v>1.35</v>
      </c>
      <c r="C8" s="18">
        <v>0.85</v>
      </c>
      <c r="D8" s="18">
        <v>1.29</v>
      </c>
      <c r="E8" s="18">
        <v>3.65</v>
      </c>
      <c r="F8" s="85">
        <v>0.85</v>
      </c>
      <c r="G8" s="85">
        <v>7.6</v>
      </c>
      <c r="H8" s="85">
        <v>1.3</v>
      </c>
      <c r="I8" s="85">
        <v>5.2</v>
      </c>
      <c r="K8" s="100">
        <v>65</v>
      </c>
      <c r="L8" s="101">
        <v>0.25</v>
      </c>
      <c r="N8" s="109">
        <v>2.5</v>
      </c>
      <c r="O8" s="113">
        <v>15</v>
      </c>
    </row>
    <row r="9" spans="1:15" ht="12.75">
      <c r="A9" s="39">
        <v>80</v>
      </c>
      <c r="B9" s="18">
        <v>1.52</v>
      </c>
      <c r="C9" s="18">
        <v>0.97</v>
      </c>
      <c r="D9" s="18">
        <v>1.54</v>
      </c>
      <c r="E9" s="18">
        <v>4.57</v>
      </c>
      <c r="F9" s="85">
        <v>0.97</v>
      </c>
      <c r="G9" s="85">
        <v>9.2</v>
      </c>
      <c r="H9" s="85">
        <v>1.5</v>
      </c>
      <c r="I9" s="85">
        <v>6.2</v>
      </c>
      <c r="K9" s="100">
        <v>80</v>
      </c>
      <c r="L9" s="101">
        <v>0.1118</v>
      </c>
      <c r="N9" s="109">
        <v>4</v>
      </c>
      <c r="O9" s="113">
        <v>15</v>
      </c>
    </row>
    <row r="10" spans="1:15" ht="12.75">
      <c r="A10" s="39">
        <v>100</v>
      </c>
      <c r="B10" s="18">
        <v>2.06</v>
      </c>
      <c r="C10" s="18">
        <v>1.37</v>
      </c>
      <c r="D10" s="18">
        <v>2.44</v>
      </c>
      <c r="E10" s="18">
        <v>6.4</v>
      </c>
      <c r="F10" s="85">
        <v>1.37</v>
      </c>
      <c r="G10" s="85">
        <v>12.1</v>
      </c>
      <c r="H10" s="85">
        <v>2</v>
      </c>
      <c r="I10" s="85">
        <v>8.2</v>
      </c>
      <c r="K10" s="100">
        <v>100</v>
      </c>
      <c r="L10" s="101">
        <v>0.034</v>
      </c>
      <c r="N10" s="109">
        <v>6.3</v>
      </c>
      <c r="O10" s="113">
        <v>20</v>
      </c>
    </row>
    <row r="11" spans="1:15" ht="12.75">
      <c r="A11" s="39">
        <v>125</v>
      </c>
      <c r="B11" s="18">
        <v>2.32</v>
      </c>
      <c r="C11" s="18">
        <v>1.84</v>
      </c>
      <c r="D11" s="18">
        <v>2.58</v>
      </c>
      <c r="E11" s="18">
        <v>7.62</v>
      </c>
      <c r="F11" s="85">
        <v>1.84</v>
      </c>
      <c r="G11" s="85">
        <v>15.2</v>
      </c>
      <c r="H11" s="85">
        <v>2.5</v>
      </c>
      <c r="I11" s="85">
        <v>10.2</v>
      </c>
      <c r="K11" s="100">
        <v>125</v>
      </c>
      <c r="L11" s="101">
        <v>0.015</v>
      </c>
      <c r="N11" s="109">
        <v>10</v>
      </c>
      <c r="O11" s="113">
        <v>25</v>
      </c>
    </row>
    <row r="12" spans="1:15" ht="12.75">
      <c r="A12" s="39">
        <v>150</v>
      </c>
      <c r="B12" s="18">
        <v>3</v>
      </c>
      <c r="C12" s="18">
        <v>2.13</v>
      </c>
      <c r="D12" s="18">
        <v>3.1</v>
      </c>
      <c r="E12" s="18">
        <v>9.2</v>
      </c>
      <c r="F12" s="85">
        <v>2.13</v>
      </c>
      <c r="G12" s="85">
        <v>18.2</v>
      </c>
      <c r="H12" s="85">
        <v>3</v>
      </c>
      <c r="I12" s="85">
        <v>12.8</v>
      </c>
      <c r="K12" s="100">
        <v>150</v>
      </c>
      <c r="L12" s="101">
        <v>0.0045</v>
      </c>
      <c r="N12" s="109">
        <v>16</v>
      </c>
      <c r="O12" s="113">
        <v>32</v>
      </c>
    </row>
    <row r="13" spans="1:15" ht="13.5" thickBot="1">
      <c r="A13" s="39">
        <v>200</v>
      </c>
      <c r="B13" s="18">
        <v>3.9</v>
      </c>
      <c r="C13" s="18">
        <v>2.74</v>
      </c>
      <c r="D13" s="18">
        <v>4</v>
      </c>
      <c r="E13" s="18">
        <v>12.2</v>
      </c>
      <c r="F13" s="85">
        <v>2.74</v>
      </c>
      <c r="G13" s="85">
        <v>24.4</v>
      </c>
      <c r="H13" s="85">
        <v>4</v>
      </c>
      <c r="I13" s="85">
        <v>17</v>
      </c>
      <c r="K13" s="102">
        <v>200</v>
      </c>
      <c r="L13" s="103">
        <v>0.00145</v>
      </c>
      <c r="N13" s="109">
        <v>25</v>
      </c>
      <c r="O13" s="113">
        <v>40</v>
      </c>
    </row>
    <row r="14" spans="1:15" ht="12.75">
      <c r="A14" s="39">
        <v>250</v>
      </c>
      <c r="B14" s="18">
        <v>4.9</v>
      </c>
      <c r="C14" s="18">
        <v>3.68</v>
      </c>
      <c r="D14" s="18">
        <v>4.9</v>
      </c>
      <c r="E14" s="18">
        <v>15.4</v>
      </c>
      <c r="F14" s="85">
        <v>3.68</v>
      </c>
      <c r="G14" s="85">
        <v>30.7</v>
      </c>
      <c r="H14" s="85">
        <v>5</v>
      </c>
      <c r="I14" s="85">
        <v>21</v>
      </c>
      <c r="N14" s="109">
        <v>40</v>
      </c>
      <c r="O14" s="113">
        <v>50</v>
      </c>
    </row>
    <row r="15" spans="1:15" ht="12.75">
      <c r="A15" s="39">
        <v>300</v>
      </c>
      <c r="B15" s="18">
        <v>5.8</v>
      </c>
      <c r="C15" s="18">
        <v>3.98</v>
      </c>
      <c r="D15" s="18">
        <v>5.8</v>
      </c>
      <c r="E15" s="18">
        <v>18.5</v>
      </c>
      <c r="F15" s="85">
        <v>3.98</v>
      </c>
      <c r="G15" s="85">
        <v>36.9</v>
      </c>
      <c r="H15" s="85">
        <v>5.8</v>
      </c>
      <c r="I15" s="85">
        <v>24.5</v>
      </c>
      <c r="N15" s="109">
        <v>63</v>
      </c>
      <c r="O15" s="113">
        <v>65</v>
      </c>
    </row>
    <row r="16" spans="1:15" ht="12.75">
      <c r="A16" s="39">
        <v>350</v>
      </c>
      <c r="B16" s="18">
        <v>7</v>
      </c>
      <c r="C16" s="18">
        <v>4.8</v>
      </c>
      <c r="D16" s="18">
        <v>7</v>
      </c>
      <c r="E16" s="18">
        <v>20.7</v>
      </c>
      <c r="F16" s="85">
        <v>5.4</v>
      </c>
      <c r="G16" s="85">
        <v>41.5</v>
      </c>
      <c r="H16" s="85">
        <v>7</v>
      </c>
      <c r="I16" s="85">
        <v>29</v>
      </c>
      <c r="N16" s="109">
        <v>100</v>
      </c>
      <c r="O16" s="113">
        <v>80</v>
      </c>
    </row>
    <row r="17" spans="1:15" ht="12.75">
      <c r="A17" s="39">
        <v>400</v>
      </c>
      <c r="B17" s="18">
        <v>7.9</v>
      </c>
      <c r="C17" s="18">
        <v>5.4</v>
      </c>
      <c r="D17" s="18">
        <v>7.9</v>
      </c>
      <c r="E17" s="18">
        <v>23.3</v>
      </c>
      <c r="F17" s="85">
        <v>6</v>
      </c>
      <c r="G17" s="85">
        <v>46.15</v>
      </c>
      <c r="H17" s="85">
        <v>7.6</v>
      </c>
      <c r="I17" s="85">
        <v>33</v>
      </c>
      <c r="N17" s="109">
        <v>160</v>
      </c>
      <c r="O17" s="113">
        <v>100</v>
      </c>
    </row>
    <row r="18" spans="1:15" ht="12.75">
      <c r="A18" s="39">
        <v>450</v>
      </c>
      <c r="B18" s="18">
        <v>8.84</v>
      </c>
      <c r="C18" s="18">
        <v>6</v>
      </c>
      <c r="D18" s="18">
        <v>8.8</v>
      </c>
      <c r="E18" s="18">
        <v>26</v>
      </c>
      <c r="F18" s="85">
        <v>7</v>
      </c>
      <c r="G18" s="85">
        <v>50.76</v>
      </c>
      <c r="H18" s="85">
        <v>8.8</v>
      </c>
      <c r="I18" s="85">
        <v>37</v>
      </c>
      <c r="N18" s="109">
        <v>250</v>
      </c>
      <c r="O18" s="113">
        <v>125</v>
      </c>
    </row>
    <row r="19" spans="1:15" ht="13.5" thickBot="1">
      <c r="A19" s="39">
        <v>500</v>
      </c>
      <c r="B19" s="18">
        <v>10.1</v>
      </c>
      <c r="C19" s="18">
        <v>6.5</v>
      </c>
      <c r="D19" s="18">
        <v>10.1</v>
      </c>
      <c r="E19" s="18">
        <v>30.4</v>
      </c>
      <c r="F19" s="85">
        <v>7.5</v>
      </c>
      <c r="G19" s="85">
        <v>61.53</v>
      </c>
      <c r="H19" s="85">
        <v>9.5</v>
      </c>
      <c r="I19" s="85">
        <v>41</v>
      </c>
      <c r="N19" s="110">
        <v>400</v>
      </c>
      <c r="O19" s="114">
        <v>150</v>
      </c>
    </row>
    <row r="20" spans="1:9" ht="12.75">
      <c r="A20" s="39">
        <v>550</v>
      </c>
      <c r="B20" s="18">
        <v>11.1</v>
      </c>
      <c r="C20" s="18">
        <v>7.4</v>
      </c>
      <c r="D20" s="18">
        <v>11.1</v>
      </c>
      <c r="E20" s="18">
        <v>32.5</v>
      </c>
      <c r="F20" s="85">
        <v>8.4</v>
      </c>
      <c r="G20" s="85">
        <v>68</v>
      </c>
      <c r="H20" s="85">
        <v>11</v>
      </c>
      <c r="I20" s="85">
        <v>45</v>
      </c>
    </row>
    <row r="21" spans="1:9" ht="13.5" thickBot="1">
      <c r="A21" s="43">
        <v>600</v>
      </c>
      <c r="B21" s="86">
        <v>12.2</v>
      </c>
      <c r="C21" s="86">
        <v>8</v>
      </c>
      <c r="D21" s="86">
        <v>12.2</v>
      </c>
      <c r="E21" s="86">
        <v>35.1</v>
      </c>
      <c r="F21" s="87">
        <v>9</v>
      </c>
      <c r="G21" s="87">
        <v>73.84</v>
      </c>
      <c r="H21" s="87">
        <v>12</v>
      </c>
      <c r="I21" s="87">
        <v>48</v>
      </c>
    </row>
    <row r="22" spans="1:9" ht="12.75">
      <c r="A22" s="83"/>
      <c r="B22" s="83"/>
      <c r="C22" s="83">
        <v>3</v>
      </c>
      <c r="D22" s="83">
        <v>4</v>
      </c>
      <c r="E22" s="83">
        <v>5</v>
      </c>
      <c r="F22" s="83">
        <v>6</v>
      </c>
      <c r="G22" s="83">
        <v>7</v>
      </c>
      <c r="H22" s="83">
        <v>6</v>
      </c>
      <c r="I22" s="83"/>
    </row>
    <row r="23" spans="1:9" ht="12.75">
      <c r="A23" s="83"/>
      <c r="B23" s="83"/>
      <c r="C23" s="83"/>
      <c r="D23" s="83"/>
      <c r="E23" s="83"/>
      <c r="F23" s="83" t="s">
        <v>119</v>
      </c>
      <c r="G23" s="83"/>
      <c r="H23" s="83" t="s">
        <v>118</v>
      </c>
      <c r="I23" s="83"/>
    </row>
    <row r="24" spans="1:9" ht="12.75">
      <c r="A24" s="83"/>
      <c r="B24" s="83"/>
      <c r="C24" s="83"/>
      <c r="D24" s="83"/>
      <c r="E24" s="83"/>
      <c r="F24" s="83"/>
      <c r="G24" s="83"/>
      <c r="H24" s="83"/>
      <c r="I24" s="83"/>
    </row>
    <row r="25" spans="1:9" ht="12.75">
      <c r="A25" s="83"/>
      <c r="B25" s="83"/>
      <c r="C25" s="83"/>
      <c r="D25" s="83"/>
      <c r="E25" s="83"/>
      <c r="F25" s="83"/>
      <c r="G25" s="83"/>
      <c r="H25" s="83"/>
      <c r="I25" s="83"/>
    </row>
    <row r="26" spans="1:9" ht="12.75">
      <c r="A26" s="83"/>
      <c r="B26" s="83"/>
      <c r="C26" s="83"/>
      <c r="D26" s="83"/>
      <c r="E26" s="83"/>
      <c r="F26" s="83"/>
      <c r="G26" s="83"/>
      <c r="H26" s="83"/>
      <c r="I26" s="83"/>
    </row>
    <row r="27" spans="1:9" ht="12.75">
      <c r="A27" s="83"/>
      <c r="B27" s="83"/>
      <c r="C27" s="83"/>
      <c r="D27" s="83"/>
      <c r="E27" s="83"/>
      <c r="F27" s="83"/>
      <c r="G27" s="83"/>
      <c r="H27" s="83"/>
      <c r="I27" s="83"/>
    </row>
    <row r="28" spans="1:9" ht="12.75">
      <c r="A28" s="83"/>
      <c r="B28" s="83"/>
      <c r="C28" s="83"/>
      <c r="D28" s="83"/>
      <c r="E28" s="83"/>
      <c r="F28" s="83"/>
      <c r="G28" s="83"/>
      <c r="H28" s="83"/>
      <c r="I28" s="83"/>
    </row>
    <row r="29" spans="1:9" ht="12.75">
      <c r="A29" s="83"/>
      <c r="B29" s="83"/>
      <c r="C29" s="83"/>
      <c r="D29" s="83"/>
      <c r="E29" s="83"/>
      <c r="F29" s="83"/>
      <c r="G29" s="83"/>
      <c r="H29" s="83"/>
      <c r="I29" s="83"/>
    </row>
    <row r="30" spans="1:9" ht="12.75">
      <c r="A30" s="83"/>
      <c r="B30" s="83"/>
      <c r="C30" s="83"/>
      <c r="D30" s="83"/>
      <c r="E30" s="83"/>
      <c r="F30" s="83"/>
      <c r="G30" s="83"/>
      <c r="H30" s="83"/>
      <c r="I30" s="83"/>
    </row>
  </sheetData>
  <sheetProtection/>
  <mergeCells count="1"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4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11.00390625" style="0" customWidth="1"/>
  </cols>
  <sheetData>
    <row r="2" ht="13.5" thickBot="1"/>
    <row r="3" spans="2:3" ht="13.5" thickBot="1">
      <c r="B3" t="s">
        <v>104</v>
      </c>
      <c r="C3" s="75">
        <v>20.24</v>
      </c>
    </row>
    <row r="4" ht="13.5" thickBot="1">
      <c r="C4" s="76"/>
    </row>
    <row r="5" spans="2:8" ht="13.5" thickBot="1">
      <c r="B5" t="s">
        <v>105</v>
      </c>
      <c r="C5" s="75">
        <v>80</v>
      </c>
      <c r="D5" t="s">
        <v>39</v>
      </c>
      <c r="F5" t="s">
        <v>106</v>
      </c>
      <c r="G5" s="77">
        <f>(82711*(C3^2))*((1/(C7^4))-(1/(C5^4)))</f>
        <v>1.0709251391376406</v>
      </c>
      <c r="H5" s="7" t="s">
        <v>107</v>
      </c>
    </row>
    <row r="6" ht="13.5" thickBot="1">
      <c r="C6" s="76"/>
    </row>
    <row r="7" spans="2:8" ht="13.5" thickBot="1">
      <c r="B7" t="s">
        <v>108</v>
      </c>
      <c r="C7" s="75">
        <v>65</v>
      </c>
      <c r="D7" t="s">
        <v>39</v>
      </c>
      <c r="F7" t="s">
        <v>106</v>
      </c>
      <c r="G7" s="78">
        <f>G5*10</f>
        <v>10.709251391376407</v>
      </c>
      <c r="H7" s="7" t="s">
        <v>109</v>
      </c>
    </row>
    <row r="9" spans="1:8" ht="12.75">
      <c r="A9" s="104"/>
      <c r="B9" s="104"/>
      <c r="C9" s="104"/>
      <c r="D9" s="104"/>
      <c r="E9" s="104"/>
      <c r="F9" s="104"/>
      <c r="G9" s="104"/>
      <c r="H9" s="104"/>
    </row>
    <row r="10" spans="3:5" ht="12.75">
      <c r="C10" s="76" t="s">
        <v>126</v>
      </c>
      <c r="D10" s="76" t="s">
        <v>127</v>
      </c>
      <c r="E10" s="76" t="s">
        <v>128</v>
      </c>
    </row>
    <row r="11" spans="3:5" ht="12.75">
      <c r="C11" t="s">
        <v>121</v>
      </c>
      <c r="D11" t="s">
        <v>122</v>
      </c>
      <c r="E11" t="s">
        <v>124</v>
      </c>
    </row>
    <row r="12" spans="3:5" ht="12.75">
      <c r="C12" t="s">
        <v>14</v>
      </c>
      <c r="D12" t="s">
        <v>123</v>
      </c>
      <c r="E12" t="s">
        <v>129</v>
      </c>
    </row>
    <row r="13" spans="3:5" ht="13.5" thickBot="1">
      <c r="C13" s="7">
        <v>80</v>
      </c>
      <c r="D13" s="7">
        <v>1440</v>
      </c>
      <c r="E13" s="7">
        <v>30</v>
      </c>
    </row>
    <row r="14" spans="1:5" ht="13.5" thickBot="1">
      <c r="A14" t="s">
        <v>125</v>
      </c>
      <c r="C14" s="7">
        <v>69</v>
      </c>
      <c r="D14" s="105">
        <f>(C14/C13)*D13</f>
        <v>1242</v>
      </c>
      <c r="E14" s="106">
        <f>((D14/D13)^2)*E13</f>
        <v>22.317187500000003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35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9.140625" style="7" customWidth="1"/>
    <col min="2" max="2" width="16.8515625" style="7" customWidth="1"/>
    <col min="3" max="3" width="13.421875" style="7" customWidth="1"/>
    <col min="4" max="4" width="28.140625" style="7" customWidth="1"/>
    <col min="5" max="5" width="9.140625" style="7" customWidth="1"/>
    <col min="6" max="6" width="9.7109375" style="7" customWidth="1"/>
    <col min="7" max="7" width="9.140625" style="7" customWidth="1"/>
    <col min="8" max="8" width="13.8515625" style="7" customWidth="1"/>
    <col min="9" max="11" width="9.140625" style="7" customWidth="1"/>
    <col min="12" max="12" width="9.7109375" style="7" customWidth="1"/>
    <col min="13" max="13" width="9.140625" style="7" customWidth="1"/>
    <col min="14" max="14" width="13.8515625" style="7" customWidth="1"/>
    <col min="15" max="17" width="9.140625" style="7" customWidth="1"/>
    <col min="18" max="18" width="9.7109375" style="7" customWidth="1"/>
    <col min="19" max="19" width="9.140625" style="7" customWidth="1"/>
    <col min="20" max="20" width="13.8515625" style="7" customWidth="1"/>
    <col min="21" max="23" width="9.140625" style="7" customWidth="1"/>
    <col min="24" max="24" width="9.7109375" style="7" customWidth="1"/>
    <col min="25" max="25" width="9.140625" style="7" customWidth="1"/>
    <col min="26" max="26" width="13.8515625" style="7" customWidth="1"/>
    <col min="27" max="29" width="9.140625" style="7" customWidth="1"/>
    <col min="30" max="30" width="9.7109375" style="7" customWidth="1"/>
    <col min="31" max="31" width="9.140625" style="7" customWidth="1"/>
    <col min="32" max="32" width="13.8515625" style="7" customWidth="1"/>
    <col min="33" max="35" width="9.140625" style="7" customWidth="1"/>
    <col min="36" max="36" width="9.7109375" style="7" customWidth="1"/>
    <col min="37" max="37" width="9.140625" style="7" customWidth="1"/>
    <col min="38" max="38" width="13.8515625" style="7" customWidth="1"/>
    <col min="39" max="41" width="9.140625" style="7" customWidth="1"/>
    <col min="42" max="42" width="9.7109375" style="7" customWidth="1"/>
    <col min="43" max="43" width="9.140625" style="7" customWidth="1"/>
    <col min="44" max="44" width="13.8515625" style="7" customWidth="1"/>
    <col min="45" max="47" width="9.140625" style="7" customWidth="1"/>
    <col min="48" max="48" width="9.7109375" style="7" customWidth="1"/>
    <col min="49" max="49" width="9.140625" style="7" customWidth="1"/>
    <col min="50" max="50" width="13.8515625" style="7" customWidth="1"/>
    <col min="51" max="53" width="9.140625" style="7" customWidth="1"/>
    <col min="54" max="54" width="9.7109375" style="7" customWidth="1"/>
    <col min="55" max="55" width="9.140625" style="7" customWidth="1"/>
    <col min="56" max="56" width="13.8515625" style="7" customWidth="1"/>
    <col min="57" max="59" width="9.140625" style="7" customWidth="1"/>
    <col min="60" max="60" width="9.7109375" style="7" customWidth="1"/>
    <col min="61" max="61" width="9.140625" style="7" customWidth="1"/>
    <col min="62" max="62" width="13.8515625" style="7" customWidth="1"/>
    <col min="63" max="65" width="9.140625" style="7" customWidth="1"/>
    <col min="66" max="66" width="9.7109375" style="7" customWidth="1"/>
    <col min="67" max="67" width="9.140625" style="7" customWidth="1"/>
    <col min="68" max="68" width="13.8515625" style="7" customWidth="1"/>
    <col min="69" max="16384" width="9.140625" style="7" customWidth="1"/>
  </cols>
  <sheetData>
    <row r="1" spans="1:71" ht="14.25" thickBot="1" thickTop="1">
      <c r="A1" s="23" t="s">
        <v>52</v>
      </c>
      <c r="B1" s="27" t="s">
        <v>57</v>
      </c>
      <c r="C1" s="28" t="s">
        <v>58</v>
      </c>
      <c r="D1" s="29" t="s">
        <v>59</v>
      </c>
      <c r="E1" s="30" t="s">
        <v>60</v>
      </c>
      <c r="F1" s="31"/>
      <c r="G1" s="31"/>
      <c r="H1" s="31"/>
      <c r="I1" s="31"/>
      <c r="J1" s="32"/>
      <c r="K1" s="32"/>
      <c r="L1" s="31"/>
      <c r="M1" s="31"/>
      <c r="N1" s="31"/>
      <c r="O1" s="31"/>
      <c r="P1" s="32"/>
      <c r="Q1" s="32"/>
      <c r="R1" s="31"/>
      <c r="S1" s="31"/>
      <c r="T1" s="31"/>
      <c r="U1" s="31"/>
      <c r="V1" s="32"/>
      <c r="W1" s="32"/>
      <c r="X1" s="31"/>
      <c r="Y1" s="31"/>
      <c r="Z1" s="31"/>
      <c r="AA1" s="31"/>
      <c r="AB1" s="32"/>
      <c r="AC1" s="32"/>
      <c r="AD1" s="31"/>
      <c r="AE1" s="31"/>
      <c r="AF1" s="31"/>
      <c r="AG1" s="31"/>
      <c r="AH1" s="32"/>
      <c r="AI1" s="32"/>
      <c r="AJ1" s="31"/>
      <c r="AK1" s="31"/>
      <c r="AL1" s="31"/>
      <c r="AM1" s="31"/>
      <c r="AN1" s="32"/>
      <c r="AO1" s="32"/>
      <c r="AP1" s="31"/>
      <c r="AQ1" s="31"/>
      <c r="AR1" s="31"/>
      <c r="AS1" s="31"/>
      <c r="AT1" s="32"/>
      <c r="AU1" s="32"/>
      <c r="AV1" s="31"/>
      <c r="AW1" s="31"/>
      <c r="AX1" s="31"/>
      <c r="AY1" s="31"/>
      <c r="AZ1" s="32"/>
      <c r="BA1" s="32"/>
      <c r="BB1" s="31"/>
      <c r="BC1" s="31"/>
      <c r="BD1" s="31"/>
      <c r="BE1" s="31"/>
      <c r="BF1" s="32"/>
      <c r="BG1" s="32"/>
      <c r="BH1" s="31"/>
      <c r="BI1" s="31"/>
      <c r="BJ1" s="31"/>
      <c r="BK1" s="31"/>
      <c r="BL1" s="32"/>
      <c r="BM1" s="32"/>
      <c r="BN1" s="31"/>
      <c r="BO1" s="31"/>
      <c r="BP1" s="31"/>
      <c r="BQ1" s="31"/>
      <c r="BR1" s="32"/>
      <c r="BS1" s="32"/>
    </row>
    <row r="2" spans="1:71" ht="12.75">
      <c r="A2" s="24" t="s">
        <v>53</v>
      </c>
      <c r="B2" s="33" t="s">
        <v>61</v>
      </c>
      <c r="C2" s="34" t="s">
        <v>130</v>
      </c>
      <c r="D2" s="35" t="s">
        <v>62</v>
      </c>
      <c r="E2" s="36"/>
      <c r="F2" s="219" t="str">
        <f>D2</f>
        <v>A.B.S (Thermoplastic - Class 4.5)</v>
      </c>
      <c r="G2" s="220"/>
      <c r="H2" s="220"/>
      <c r="I2" s="220"/>
      <c r="J2" s="220"/>
      <c r="K2" s="221"/>
      <c r="L2" s="219" t="str">
        <f>D3</f>
        <v>A.B.S (Thermoplastic - Class 6)</v>
      </c>
      <c r="M2" s="220"/>
      <c r="N2" s="220"/>
      <c r="O2" s="220"/>
      <c r="P2" s="220"/>
      <c r="Q2" s="221"/>
      <c r="R2" s="219" t="str">
        <f>D4</f>
        <v>A.B.S (Thermoplastic - Class 9)</v>
      </c>
      <c r="S2" s="220"/>
      <c r="T2" s="220"/>
      <c r="U2" s="220"/>
      <c r="V2" s="220"/>
      <c r="W2" s="221"/>
      <c r="X2" s="219" t="str">
        <f>D5</f>
        <v>A.B.S (Thermoplastic - Class 10)</v>
      </c>
      <c r="Y2" s="220"/>
      <c r="Z2" s="220"/>
      <c r="AA2" s="220"/>
      <c r="AB2" s="220"/>
      <c r="AC2" s="221"/>
      <c r="AD2" s="219" t="str">
        <f>D6</f>
        <v>A.B.S (Thermoplastic - Class 12)</v>
      </c>
      <c r="AE2" s="220"/>
      <c r="AF2" s="220"/>
      <c r="AG2" s="220"/>
      <c r="AH2" s="220"/>
      <c r="AI2" s="221"/>
      <c r="AJ2" s="219" t="str">
        <f>D7</f>
        <v>A.B.S (Thermoplastic - Class 15)</v>
      </c>
      <c r="AK2" s="220"/>
      <c r="AL2" s="220"/>
      <c r="AM2" s="220"/>
      <c r="AN2" s="220"/>
      <c r="AO2" s="221"/>
      <c r="AP2" s="219" t="str">
        <f>D8</f>
        <v>Coes-therm</v>
      </c>
      <c r="AQ2" s="220"/>
      <c r="AR2" s="220"/>
      <c r="AS2" s="220"/>
      <c r="AT2" s="220"/>
      <c r="AU2" s="221"/>
      <c r="AV2" s="219" t="str">
        <f>D9</f>
        <v>Copper tube (Type A)</v>
      </c>
      <c r="AW2" s="220"/>
      <c r="AX2" s="220"/>
      <c r="AY2" s="220"/>
      <c r="AZ2" s="220"/>
      <c r="BA2" s="221"/>
      <c r="BB2" s="219" t="str">
        <f>D10</f>
        <v>Copper tube (Type B)</v>
      </c>
      <c r="BC2" s="220"/>
      <c r="BD2" s="220"/>
      <c r="BE2" s="220"/>
      <c r="BF2" s="220"/>
      <c r="BG2" s="221"/>
      <c r="BH2" s="219"/>
      <c r="BI2" s="220"/>
      <c r="BJ2" s="220"/>
      <c r="BK2" s="220"/>
      <c r="BL2" s="220"/>
      <c r="BM2" s="221"/>
      <c r="BN2" s="219"/>
      <c r="BO2" s="220"/>
      <c r="BP2" s="220"/>
      <c r="BQ2" s="220"/>
      <c r="BR2" s="220"/>
      <c r="BS2" s="221"/>
    </row>
    <row r="3" spans="1:71" ht="12.75">
      <c r="A3" s="25" t="s">
        <v>110</v>
      </c>
      <c r="B3" s="37" t="s">
        <v>63</v>
      </c>
      <c r="C3" s="38" t="s">
        <v>64</v>
      </c>
      <c r="D3" s="35" t="s">
        <v>65</v>
      </c>
      <c r="E3" s="36" t="s">
        <v>66</v>
      </c>
      <c r="F3" s="39" t="s">
        <v>67</v>
      </c>
      <c r="G3" s="40" t="s">
        <v>68</v>
      </c>
      <c r="H3" s="4" t="s">
        <v>69</v>
      </c>
      <c r="I3" s="4" t="s">
        <v>70</v>
      </c>
      <c r="J3" s="40"/>
      <c r="K3" s="41"/>
      <c r="L3" s="39" t="s">
        <v>67</v>
      </c>
      <c r="M3" s="40" t="s">
        <v>68</v>
      </c>
      <c r="N3" s="4" t="s">
        <v>69</v>
      </c>
      <c r="O3" s="4" t="s">
        <v>70</v>
      </c>
      <c r="P3" s="40"/>
      <c r="Q3" s="41"/>
      <c r="R3" s="39" t="s">
        <v>67</v>
      </c>
      <c r="S3" s="40" t="s">
        <v>68</v>
      </c>
      <c r="T3" s="4" t="s">
        <v>69</v>
      </c>
      <c r="U3" s="4" t="s">
        <v>70</v>
      </c>
      <c r="V3" s="40"/>
      <c r="W3" s="41"/>
      <c r="X3" s="39" t="s">
        <v>67</v>
      </c>
      <c r="Y3" s="40" t="s">
        <v>68</v>
      </c>
      <c r="Z3" s="4" t="s">
        <v>69</v>
      </c>
      <c r="AA3" s="4" t="s">
        <v>70</v>
      </c>
      <c r="AB3" s="40"/>
      <c r="AC3" s="41"/>
      <c r="AD3" s="39" t="s">
        <v>67</v>
      </c>
      <c r="AE3" s="40" t="s">
        <v>68</v>
      </c>
      <c r="AF3" s="4" t="s">
        <v>69</v>
      </c>
      <c r="AG3" s="4" t="s">
        <v>70</v>
      </c>
      <c r="AH3" s="40"/>
      <c r="AI3" s="41"/>
      <c r="AJ3" s="39" t="s">
        <v>67</v>
      </c>
      <c r="AK3" s="40" t="s">
        <v>68</v>
      </c>
      <c r="AL3" s="4" t="s">
        <v>69</v>
      </c>
      <c r="AM3" s="4" t="s">
        <v>70</v>
      </c>
      <c r="AN3" s="40"/>
      <c r="AO3" s="41"/>
      <c r="AP3" s="39" t="s">
        <v>67</v>
      </c>
      <c r="AQ3" s="40" t="s">
        <v>68</v>
      </c>
      <c r="AR3" s="4" t="s">
        <v>69</v>
      </c>
      <c r="AS3" s="4" t="s">
        <v>70</v>
      </c>
      <c r="AT3" s="40"/>
      <c r="AU3" s="41"/>
      <c r="AV3" s="39" t="s">
        <v>67</v>
      </c>
      <c r="AW3" s="40" t="s">
        <v>68</v>
      </c>
      <c r="AX3" s="4" t="s">
        <v>69</v>
      </c>
      <c r="AY3" s="4" t="s">
        <v>70</v>
      </c>
      <c r="AZ3" s="40"/>
      <c r="BA3" s="41"/>
      <c r="BB3" s="39" t="s">
        <v>67</v>
      </c>
      <c r="BC3" s="40" t="s">
        <v>68</v>
      </c>
      <c r="BD3" s="4" t="s">
        <v>69</v>
      </c>
      <c r="BE3" s="4" t="s">
        <v>70</v>
      </c>
      <c r="BF3" s="40"/>
      <c r="BG3" s="41"/>
      <c r="BH3" s="39" t="s">
        <v>67</v>
      </c>
      <c r="BI3" s="40" t="s">
        <v>68</v>
      </c>
      <c r="BJ3" s="4" t="s">
        <v>69</v>
      </c>
      <c r="BK3" s="4" t="s">
        <v>70</v>
      </c>
      <c r="BL3" s="40"/>
      <c r="BM3" s="41"/>
      <c r="BN3" s="39" t="s">
        <v>67</v>
      </c>
      <c r="BO3" s="40" t="s">
        <v>68</v>
      </c>
      <c r="BP3" s="4" t="s">
        <v>69</v>
      </c>
      <c r="BQ3" s="4" t="s">
        <v>70</v>
      </c>
      <c r="BR3" s="40"/>
      <c r="BS3" s="41"/>
    </row>
    <row r="4" spans="1:71" ht="13.5" thickBot="1">
      <c r="A4" s="25" t="s">
        <v>56</v>
      </c>
      <c r="B4" s="37" t="s">
        <v>72</v>
      </c>
      <c r="C4" s="38" t="s">
        <v>131</v>
      </c>
      <c r="D4" s="35" t="s">
        <v>73</v>
      </c>
      <c r="E4" s="42" t="s">
        <v>74</v>
      </c>
      <c r="F4" s="43" t="s">
        <v>74</v>
      </c>
      <c r="G4" s="44" t="s">
        <v>39</v>
      </c>
      <c r="H4" s="45" t="s">
        <v>75</v>
      </c>
      <c r="I4" s="45" t="s">
        <v>76</v>
      </c>
      <c r="J4" s="45"/>
      <c r="K4" s="46"/>
      <c r="L4" s="43" t="s">
        <v>74</v>
      </c>
      <c r="M4" s="44" t="s">
        <v>39</v>
      </c>
      <c r="N4" s="45" t="s">
        <v>75</v>
      </c>
      <c r="O4" s="45" t="s">
        <v>76</v>
      </c>
      <c r="P4" s="45"/>
      <c r="Q4" s="46"/>
      <c r="R4" s="43" t="s">
        <v>74</v>
      </c>
      <c r="S4" s="44" t="s">
        <v>39</v>
      </c>
      <c r="T4" s="45" t="s">
        <v>75</v>
      </c>
      <c r="U4" s="45" t="s">
        <v>76</v>
      </c>
      <c r="V4" s="45"/>
      <c r="W4" s="46"/>
      <c r="X4" s="43" t="s">
        <v>74</v>
      </c>
      <c r="Y4" s="44" t="s">
        <v>39</v>
      </c>
      <c r="Z4" s="45" t="s">
        <v>75</v>
      </c>
      <c r="AA4" s="45" t="s">
        <v>76</v>
      </c>
      <c r="AB4" s="45"/>
      <c r="AC4" s="46"/>
      <c r="AD4" s="43" t="s">
        <v>74</v>
      </c>
      <c r="AE4" s="44" t="s">
        <v>39</v>
      </c>
      <c r="AF4" s="45" t="s">
        <v>75</v>
      </c>
      <c r="AG4" s="45" t="s">
        <v>76</v>
      </c>
      <c r="AH4" s="45"/>
      <c r="AI4" s="46"/>
      <c r="AJ4" s="43" t="s">
        <v>74</v>
      </c>
      <c r="AK4" s="44" t="s">
        <v>39</v>
      </c>
      <c r="AL4" s="45" t="s">
        <v>75</v>
      </c>
      <c r="AM4" s="45" t="s">
        <v>76</v>
      </c>
      <c r="AN4" s="45"/>
      <c r="AO4" s="46"/>
      <c r="AP4" s="43" t="s">
        <v>74</v>
      </c>
      <c r="AQ4" s="44" t="s">
        <v>39</v>
      </c>
      <c r="AR4" s="45" t="s">
        <v>75</v>
      </c>
      <c r="AS4" s="45" t="s">
        <v>76</v>
      </c>
      <c r="AT4" s="45"/>
      <c r="AU4" s="46"/>
      <c r="AV4" s="43" t="s">
        <v>74</v>
      </c>
      <c r="AW4" s="44" t="s">
        <v>39</v>
      </c>
      <c r="AX4" s="45" t="s">
        <v>75</v>
      </c>
      <c r="AY4" s="45" t="s">
        <v>76</v>
      </c>
      <c r="AZ4" s="45"/>
      <c r="BA4" s="46"/>
      <c r="BB4" s="43" t="s">
        <v>74</v>
      </c>
      <c r="BC4" s="44" t="s">
        <v>39</v>
      </c>
      <c r="BD4" s="45" t="s">
        <v>75</v>
      </c>
      <c r="BE4" s="45" t="s">
        <v>76</v>
      </c>
      <c r="BF4" s="45"/>
      <c r="BG4" s="46"/>
      <c r="BH4" s="43" t="s">
        <v>74</v>
      </c>
      <c r="BI4" s="44" t="s">
        <v>39</v>
      </c>
      <c r="BJ4" s="45" t="s">
        <v>75</v>
      </c>
      <c r="BK4" s="45" t="s">
        <v>76</v>
      </c>
      <c r="BL4" s="45"/>
      <c r="BM4" s="46"/>
      <c r="BN4" s="43" t="s">
        <v>74</v>
      </c>
      <c r="BO4" s="44" t="s">
        <v>39</v>
      </c>
      <c r="BP4" s="45" t="s">
        <v>75</v>
      </c>
      <c r="BQ4" s="45" t="s">
        <v>76</v>
      </c>
      <c r="BR4" s="45"/>
      <c r="BS4" s="46"/>
    </row>
    <row r="5" spans="1:71" ht="12.75">
      <c r="A5" s="25" t="s">
        <v>55</v>
      </c>
      <c r="B5" s="37" t="s">
        <v>78</v>
      </c>
      <c r="C5" s="38" t="s">
        <v>132</v>
      </c>
      <c r="D5" s="35" t="s">
        <v>79</v>
      </c>
      <c r="E5" s="47">
        <v>15</v>
      </c>
      <c r="F5" s="48"/>
      <c r="G5" s="49"/>
      <c r="H5" s="50"/>
      <c r="I5" s="51"/>
      <c r="J5" s="51"/>
      <c r="K5" s="52"/>
      <c r="L5" s="48"/>
      <c r="M5" s="49"/>
      <c r="N5" s="50"/>
      <c r="O5" s="51"/>
      <c r="P5" s="51"/>
      <c r="Q5" s="52"/>
      <c r="R5" s="48"/>
      <c r="S5" s="49"/>
      <c r="T5" s="50"/>
      <c r="U5" s="53"/>
      <c r="V5" s="51"/>
      <c r="W5" s="52"/>
      <c r="X5" s="48"/>
      <c r="Y5" s="49"/>
      <c r="Z5" s="50"/>
      <c r="AA5" s="51"/>
      <c r="AB5" s="51"/>
      <c r="AC5" s="52"/>
      <c r="AD5" s="48"/>
      <c r="AE5" s="49"/>
      <c r="AF5" s="50"/>
      <c r="AG5" s="51"/>
      <c r="AH5" s="51"/>
      <c r="AI5" s="52"/>
      <c r="AJ5" s="54">
        <v>17.1</v>
      </c>
      <c r="AK5" s="55">
        <v>2.1</v>
      </c>
      <c r="AL5" s="56">
        <v>1500</v>
      </c>
      <c r="AM5" s="57">
        <v>0.14</v>
      </c>
      <c r="AN5" s="58"/>
      <c r="AO5" s="59"/>
      <c r="AP5" s="54"/>
      <c r="AQ5" s="55"/>
      <c r="AR5" s="56"/>
      <c r="AS5" s="58"/>
      <c r="AT5" s="58"/>
      <c r="AU5" s="59"/>
      <c r="AV5" s="54">
        <v>12.7</v>
      </c>
      <c r="AW5" s="60">
        <v>1.02</v>
      </c>
      <c r="AX5" s="56">
        <v>6380</v>
      </c>
      <c r="AY5" s="58"/>
      <c r="AZ5" s="58"/>
      <c r="BA5" s="59"/>
      <c r="BB5" s="54">
        <v>10.84</v>
      </c>
      <c r="BC5" s="55"/>
      <c r="BD5" s="56"/>
      <c r="BE5" s="58"/>
      <c r="BF5" s="58"/>
      <c r="BG5" s="59"/>
      <c r="BH5" s="54"/>
      <c r="BI5" s="55"/>
      <c r="BJ5" s="56"/>
      <c r="BK5" s="58"/>
      <c r="BL5" s="58"/>
      <c r="BM5" s="59"/>
      <c r="BN5" s="54"/>
      <c r="BO5" s="55"/>
      <c r="BP5" s="56"/>
      <c r="BQ5" s="58"/>
      <c r="BR5" s="58"/>
      <c r="BS5" s="59"/>
    </row>
    <row r="6" spans="1:71" ht="12.75">
      <c r="A6" s="25" t="s">
        <v>116</v>
      </c>
      <c r="B6" s="37" t="s">
        <v>80</v>
      </c>
      <c r="C6" s="38" t="s">
        <v>81</v>
      </c>
      <c r="D6" s="35" t="s">
        <v>82</v>
      </c>
      <c r="E6" s="47">
        <v>20</v>
      </c>
      <c r="F6" s="48"/>
      <c r="G6" s="49"/>
      <c r="H6" s="50"/>
      <c r="I6" s="51"/>
      <c r="J6" s="51"/>
      <c r="K6" s="52"/>
      <c r="L6" s="48"/>
      <c r="M6" s="49"/>
      <c r="N6" s="50"/>
      <c r="O6" s="51"/>
      <c r="P6" s="51"/>
      <c r="Q6" s="52"/>
      <c r="R6" s="48"/>
      <c r="S6" s="49"/>
      <c r="T6" s="50"/>
      <c r="U6" s="53"/>
      <c r="V6" s="51"/>
      <c r="W6" s="52"/>
      <c r="X6" s="48"/>
      <c r="Y6" s="49"/>
      <c r="Z6" s="50"/>
      <c r="AA6" s="51"/>
      <c r="AB6" s="51"/>
      <c r="AC6" s="52"/>
      <c r="AD6" s="48"/>
      <c r="AE6" s="49"/>
      <c r="AF6" s="50"/>
      <c r="AG6" s="51"/>
      <c r="AH6" s="51"/>
      <c r="AI6" s="52"/>
      <c r="AJ6" s="54">
        <v>21.4</v>
      </c>
      <c r="AK6" s="55">
        <v>2.7</v>
      </c>
      <c r="AL6" s="56">
        <v>1500</v>
      </c>
      <c r="AM6" s="57">
        <v>0.22</v>
      </c>
      <c r="AN6" s="58"/>
      <c r="AO6" s="59"/>
      <c r="AP6" s="54"/>
      <c r="AQ6" s="55"/>
      <c r="AR6" s="56"/>
      <c r="AS6" s="58"/>
      <c r="AT6" s="58"/>
      <c r="AU6" s="59"/>
      <c r="AV6" s="54">
        <v>19.05</v>
      </c>
      <c r="AW6" s="60">
        <v>1.42</v>
      </c>
      <c r="AX6" s="56">
        <v>5900</v>
      </c>
      <c r="AY6" s="58"/>
      <c r="AZ6" s="58"/>
      <c r="BA6" s="59"/>
      <c r="BB6" s="54"/>
      <c r="BC6" s="55"/>
      <c r="BD6" s="56"/>
      <c r="BE6" s="58"/>
      <c r="BF6" s="58"/>
      <c r="BG6" s="59"/>
      <c r="BH6" s="54"/>
      <c r="BI6" s="55"/>
      <c r="BJ6" s="56"/>
      <c r="BK6" s="58"/>
      <c r="BL6" s="58"/>
      <c r="BM6" s="59"/>
      <c r="BN6" s="54"/>
      <c r="BO6" s="55"/>
      <c r="BP6" s="56"/>
      <c r="BQ6" s="58"/>
      <c r="BR6" s="58"/>
      <c r="BS6" s="59"/>
    </row>
    <row r="7" spans="1:71" ht="12.75">
      <c r="A7" s="25" t="s">
        <v>54</v>
      </c>
      <c r="B7" s="37" t="s">
        <v>84</v>
      </c>
      <c r="C7" s="38"/>
      <c r="D7" s="35" t="s">
        <v>85</v>
      </c>
      <c r="E7" s="47">
        <v>25</v>
      </c>
      <c r="F7" s="48"/>
      <c r="G7" s="49"/>
      <c r="H7" s="50"/>
      <c r="I7" s="51"/>
      <c r="J7" s="51"/>
      <c r="K7" s="52"/>
      <c r="L7" s="48"/>
      <c r="M7" s="49"/>
      <c r="N7" s="50"/>
      <c r="O7" s="51"/>
      <c r="P7" s="51"/>
      <c r="Q7" s="52"/>
      <c r="R7" s="54">
        <v>29.4</v>
      </c>
      <c r="S7" s="55">
        <v>2.1</v>
      </c>
      <c r="T7" s="56">
        <v>900</v>
      </c>
      <c r="U7" s="57">
        <v>0.23</v>
      </c>
      <c r="V7" s="58"/>
      <c r="W7" s="59"/>
      <c r="X7" s="48"/>
      <c r="Y7" s="49"/>
      <c r="Z7" s="50"/>
      <c r="AA7" s="51"/>
      <c r="AB7" s="51"/>
      <c r="AC7" s="52"/>
      <c r="AD7" s="48"/>
      <c r="AE7" s="49"/>
      <c r="AF7" s="50"/>
      <c r="AG7" s="51"/>
      <c r="AH7" s="51"/>
      <c r="AI7" s="52"/>
      <c r="AJ7" s="54">
        <v>26.9</v>
      </c>
      <c r="AK7" s="55">
        <v>3.3</v>
      </c>
      <c r="AL7" s="56">
        <v>1500</v>
      </c>
      <c r="AM7" s="57">
        <v>0.35</v>
      </c>
      <c r="AN7" s="58"/>
      <c r="AO7" s="59"/>
      <c r="AP7" s="54"/>
      <c r="AQ7" s="55"/>
      <c r="AR7" s="56"/>
      <c r="AS7" s="58"/>
      <c r="AT7" s="58"/>
      <c r="AU7" s="59"/>
      <c r="AV7" s="54">
        <v>25.4</v>
      </c>
      <c r="AW7" s="60">
        <v>1.63</v>
      </c>
      <c r="AX7" s="56">
        <v>5070</v>
      </c>
      <c r="AY7" s="58"/>
      <c r="AZ7" s="58"/>
      <c r="BA7" s="59"/>
      <c r="BB7" s="54"/>
      <c r="BC7" s="55"/>
      <c r="BD7" s="56"/>
      <c r="BE7" s="58"/>
      <c r="BF7" s="58"/>
      <c r="BG7" s="59"/>
      <c r="BH7" s="54"/>
      <c r="BI7" s="55"/>
      <c r="BJ7" s="56"/>
      <c r="BK7" s="58"/>
      <c r="BL7" s="58"/>
      <c r="BM7" s="59"/>
      <c r="BN7" s="54"/>
      <c r="BO7" s="55"/>
      <c r="BP7" s="56"/>
      <c r="BQ7" s="58"/>
      <c r="BR7" s="58"/>
      <c r="BS7" s="59"/>
    </row>
    <row r="8" spans="1:71" ht="12.75">
      <c r="A8" s="25" t="s">
        <v>102</v>
      </c>
      <c r="B8" s="37" t="s">
        <v>86</v>
      </c>
      <c r="C8" s="38"/>
      <c r="D8" s="35" t="s">
        <v>87</v>
      </c>
      <c r="E8" s="47">
        <v>32</v>
      </c>
      <c r="F8" s="48"/>
      <c r="G8" s="49"/>
      <c r="H8" s="50"/>
      <c r="I8" s="51"/>
      <c r="J8" s="51"/>
      <c r="K8" s="52"/>
      <c r="L8" s="48"/>
      <c r="M8" s="49"/>
      <c r="N8" s="50"/>
      <c r="O8" s="51"/>
      <c r="P8" s="51"/>
      <c r="Q8" s="52"/>
      <c r="R8" s="54">
        <v>37</v>
      </c>
      <c r="S8" s="55">
        <v>2.6</v>
      </c>
      <c r="T8" s="56">
        <v>900</v>
      </c>
      <c r="U8" s="57">
        <v>0.35</v>
      </c>
      <c r="V8" s="58"/>
      <c r="W8" s="59"/>
      <c r="X8" s="48"/>
      <c r="Y8" s="49"/>
      <c r="Z8" s="50"/>
      <c r="AA8" s="51"/>
      <c r="AB8" s="51"/>
      <c r="AC8" s="52"/>
      <c r="AD8" s="48"/>
      <c r="AE8" s="49"/>
      <c r="AF8" s="50"/>
      <c r="AG8" s="51"/>
      <c r="AH8" s="51"/>
      <c r="AI8" s="52"/>
      <c r="AJ8" s="54">
        <v>34</v>
      </c>
      <c r="AK8" s="55">
        <v>4.1</v>
      </c>
      <c r="AL8" s="56">
        <v>1500</v>
      </c>
      <c r="AM8" s="57">
        <v>0.55</v>
      </c>
      <c r="AN8" s="58"/>
      <c r="AO8" s="59"/>
      <c r="AP8" s="54"/>
      <c r="AQ8" s="55"/>
      <c r="AR8" s="56"/>
      <c r="AS8" s="58"/>
      <c r="AT8" s="58"/>
      <c r="AU8" s="59"/>
      <c r="AV8" s="54">
        <v>31.75</v>
      </c>
      <c r="AW8" s="60">
        <v>1.63</v>
      </c>
      <c r="AX8" s="56">
        <v>4010</v>
      </c>
      <c r="AY8" s="58"/>
      <c r="AZ8" s="58"/>
      <c r="BA8" s="59"/>
      <c r="BB8" s="54"/>
      <c r="BC8" s="55"/>
      <c r="BD8" s="56"/>
      <c r="BE8" s="58"/>
      <c r="BF8" s="58"/>
      <c r="BG8" s="59"/>
      <c r="BH8" s="54"/>
      <c r="BI8" s="55"/>
      <c r="BJ8" s="56"/>
      <c r="BK8" s="58"/>
      <c r="BL8" s="58"/>
      <c r="BM8" s="59"/>
      <c r="BN8" s="54"/>
      <c r="BO8" s="55"/>
      <c r="BP8" s="56"/>
      <c r="BQ8" s="58"/>
      <c r="BR8" s="58"/>
      <c r="BS8" s="59"/>
    </row>
    <row r="9" spans="1:71" ht="12.75">
      <c r="A9" s="25" t="s">
        <v>71</v>
      </c>
      <c r="B9" s="37" t="s">
        <v>100</v>
      </c>
      <c r="C9" s="38"/>
      <c r="D9" s="35" t="s">
        <v>89</v>
      </c>
      <c r="E9" s="47">
        <v>40</v>
      </c>
      <c r="F9" s="48"/>
      <c r="G9" s="49"/>
      <c r="H9" s="50"/>
      <c r="I9" s="51"/>
      <c r="J9" s="51"/>
      <c r="K9" s="52"/>
      <c r="L9" s="48"/>
      <c r="M9" s="49"/>
      <c r="N9" s="50"/>
      <c r="O9" s="51"/>
      <c r="P9" s="51"/>
      <c r="Q9" s="52"/>
      <c r="R9" s="54">
        <v>42.3</v>
      </c>
      <c r="S9" s="55">
        <v>3</v>
      </c>
      <c r="T9" s="56">
        <v>900</v>
      </c>
      <c r="U9" s="57">
        <v>0.45</v>
      </c>
      <c r="V9" s="58"/>
      <c r="W9" s="59"/>
      <c r="X9" s="48"/>
      <c r="Y9" s="49"/>
      <c r="Z9" s="50"/>
      <c r="AA9" s="51"/>
      <c r="AB9" s="51"/>
      <c r="AC9" s="52"/>
      <c r="AD9" s="48"/>
      <c r="AE9" s="49"/>
      <c r="AF9" s="50"/>
      <c r="AG9" s="51"/>
      <c r="AH9" s="51"/>
      <c r="AI9" s="52"/>
      <c r="AJ9" s="54">
        <v>38.8</v>
      </c>
      <c r="AK9" s="55">
        <v>4.7</v>
      </c>
      <c r="AL9" s="56">
        <v>1500</v>
      </c>
      <c r="AM9" s="57">
        <v>0.7</v>
      </c>
      <c r="AN9" s="58"/>
      <c r="AO9" s="59"/>
      <c r="AP9" s="54"/>
      <c r="AQ9" s="55"/>
      <c r="AR9" s="56"/>
      <c r="AS9" s="58"/>
      <c r="AT9" s="58"/>
      <c r="AU9" s="59"/>
      <c r="AV9" s="54">
        <v>38.1</v>
      </c>
      <c r="AW9" s="60">
        <v>1.63</v>
      </c>
      <c r="AX9" s="56">
        <v>3310</v>
      </c>
      <c r="AY9" s="58"/>
      <c r="AZ9" s="58"/>
      <c r="BA9" s="59"/>
      <c r="BB9" s="54"/>
      <c r="BC9" s="55"/>
      <c r="BD9" s="56"/>
      <c r="BE9" s="58"/>
      <c r="BF9" s="58"/>
      <c r="BG9" s="59"/>
      <c r="BH9" s="54"/>
      <c r="BI9" s="55"/>
      <c r="BJ9" s="56"/>
      <c r="BK9" s="58"/>
      <c r="BL9" s="58"/>
      <c r="BM9" s="59"/>
      <c r="BN9" s="54"/>
      <c r="BO9" s="55"/>
      <c r="BP9" s="56"/>
      <c r="BQ9" s="58"/>
      <c r="BR9" s="58"/>
      <c r="BS9" s="59"/>
    </row>
    <row r="10" spans="1:71" ht="12.75">
      <c r="A10" s="25" t="s">
        <v>77</v>
      </c>
      <c r="B10" s="37"/>
      <c r="C10" s="38"/>
      <c r="D10" s="35" t="s">
        <v>91</v>
      </c>
      <c r="E10" s="47">
        <v>50</v>
      </c>
      <c r="F10" s="48"/>
      <c r="G10" s="49"/>
      <c r="H10" s="50"/>
      <c r="I10" s="51"/>
      <c r="J10" s="51"/>
      <c r="K10" s="52"/>
      <c r="L10" s="48"/>
      <c r="M10" s="49"/>
      <c r="N10" s="50"/>
      <c r="O10" s="51"/>
      <c r="P10" s="51"/>
      <c r="Q10" s="52"/>
      <c r="R10" s="54">
        <v>53</v>
      </c>
      <c r="S10" s="55">
        <v>3.7</v>
      </c>
      <c r="T10" s="56">
        <v>900</v>
      </c>
      <c r="U10" s="57">
        <v>0.7</v>
      </c>
      <c r="V10" s="58"/>
      <c r="W10" s="59"/>
      <c r="X10" s="48"/>
      <c r="Y10" s="49"/>
      <c r="Z10" s="50"/>
      <c r="AA10" s="51"/>
      <c r="AB10" s="51"/>
      <c r="AC10" s="52"/>
      <c r="AD10" s="54">
        <v>50.8</v>
      </c>
      <c r="AE10" s="55">
        <v>4.8</v>
      </c>
      <c r="AF10" s="56">
        <v>1200</v>
      </c>
      <c r="AG10" s="58">
        <v>0.9</v>
      </c>
      <c r="AH10" s="58"/>
      <c r="AI10" s="59"/>
      <c r="AJ10" s="48"/>
      <c r="AK10" s="49"/>
      <c r="AL10" s="50"/>
      <c r="AM10" s="53"/>
      <c r="AN10" s="51"/>
      <c r="AO10" s="52"/>
      <c r="AP10" s="54"/>
      <c r="AQ10" s="55"/>
      <c r="AR10" s="56"/>
      <c r="AS10" s="58"/>
      <c r="AT10" s="58"/>
      <c r="AU10" s="59"/>
      <c r="AV10" s="54">
        <v>50.8</v>
      </c>
      <c r="AW10" s="60">
        <v>1.63</v>
      </c>
      <c r="AX10" s="56">
        <v>2460</v>
      </c>
      <c r="AY10" s="58"/>
      <c r="AZ10" s="58"/>
      <c r="BA10" s="59"/>
      <c r="BB10" s="54"/>
      <c r="BC10" s="55"/>
      <c r="BD10" s="56"/>
      <c r="BE10" s="58"/>
      <c r="BF10" s="58"/>
      <c r="BG10" s="59"/>
      <c r="BH10" s="54"/>
      <c r="BI10" s="55"/>
      <c r="BJ10" s="56"/>
      <c r="BK10" s="58"/>
      <c r="BL10" s="58"/>
      <c r="BM10" s="59"/>
      <c r="BN10" s="54"/>
      <c r="BO10" s="55"/>
      <c r="BP10" s="56"/>
      <c r="BQ10" s="58"/>
      <c r="BR10" s="58"/>
      <c r="BS10" s="59"/>
    </row>
    <row r="11" spans="1:71" ht="12.75">
      <c r="A11" s="25" t="s">
        <v>103</v>
      </c>
      <c r="B11" s="37"/>
      <c r="C11" s="6"/>
      <c r="D11" s="35" t="s">
        <v>92</v>
      </c>
      <c r="E11" s="47">
        <v>65</v>
      </c>
      <c r="F11" s="48"/>
      <c r="G11" s="49"/>
      <c r="H11" s="50"/>
      <c r="I11" s="51"/>
      <c r="J11" s="51"/>
      <c r="K11" s="52"/>
      <c r="L11" s="48"/>
      <c r="M11" s="49"/>
      <c r="N11" s="50"/>
      <c r="O11" s="51"/>
      <c r="P11" s="51"/>
      <c r="Q11" s="52"/>
      <c r="R11" s="48"/>
      <c r="S11" s="49"/>
      <c r="T11" s="50"/>
      <c r="U11" s="53"/>
      <c r="V11" s="51"/>
      <c r="W11" s="52"/>
      <c r="X11" s="48"/>
      <c r="Y11" s="49"/>
      <c r="Z11" s="50"/>
      <c r="AA11" s="51"/>
      <c r="AB11" s="51"/>
      <c r="AC11" s="52"/>
      <c r="AD11" s="48"/>
      <c r="AE11" s="49"/>
      <c r="AF11" s="50"/>
      <c r="AG11" s="51"/>
      <c r="AH11" s="51"/>
      <c r="AI11" s="52"/>
      <c r="AJ11" s="54">
        <v>48.6</v>
      </c>
      <c r="AK11" s="55">
        <v>5.9</v>
      </c>
      <c r="AL11" s="56">
        <v>1500</v>
      </c>
      <c r="AM11" s="57">
        <v>1.1</v>
      </c>
      <c r="AN11" s="58"/>
      <c r="AO11" s="59"/>
      <c r="AP11" s="54"/>
      <c r="AQ11" s="55"/>
      <c r="AR11" s="56"/>
      <c r="AS11" s="58"/>
      <c r="AT11" s="58"/>
      <c r="AU11" s="59"/>
      <c r="AV11" s="54">
        <v>63.5</v>
      </c>
      <c r="AW11" s="60">
        <v>1.63</v>
      </c>
      <c r="AX11" s="56">
        <v>1960</v>
      </c>
      <c r="AY11" s="58"/>
      <c r="AZ11" s="58"/>
      <c r="BA11" s="59"/>
      <c r="BB11" s="54"/>
      <c r="BC11" s="55"/>
      <c r="BD11" s="56"/>
      <c r="BE11" s="58"/>
      <c r="BF11" s="58"/>
      <c r="BG11" s="59"/>
      <c r="BH11" s="54"/>
      <c r="BI11" s="55"/>
      <c r="BJ11" s="56"/>
      <c r="BK11" s="58"/>
      <c r="BL11" s="58"/>
      <c r="BM11" s="59"/>
      <c r="BN11" s="54"/>
      <c r="BO11" s="55"/>
      <c r="BP11" s="56"/>
      <c r="BQ11" s="58"/>
      <c r="BR11" s="58"/>
      <c r="BS11" s="59"/>
    </row>
    <row r="12" spans="1:71" ht="12.75">
      <c r="A12" s="25" t="s">
        <v>101</v>
      </c>
      <c r="B12" s="37"/>
      <c r="C12" s="6"/>
      <c r="D12" s="35" t="s">
        <v>93</v>
      </c>
      <c r="E12" s="47">
        <v>80</v>
      </c>
      <c r="F12" s="48"/>
      <c r="G12" s="49"/>
      <c r="H12" s="50"/>
      <c r="I12" s="51"/>
      <c r="J12" s="51"/>
      <c r="K12" s="52"/>
      <c r="L12" s="54">
        <v>81.5</v>
      </c>
      <c r="M12" s="55">
        <v>3.7</v>
      </c>
      <c r="N12" s="56">
        <v>600</v>
      </c>
      <c r="O12" s="58">
        <v>1.1</v>
      </c>
      <c r="P12" s="58"/>
      <c r="Q12" s="59"/>
      <c r="R12" s="54">
        <v>78.1</v>
      </c>
      <c r="S12" s="55">
        <v>5.4</v>
      </c>
      <c r="T12" s="56">
        <v>900</v>
      </c>
      <c r="U12" s="57">
        <v>1.6</v>
      </c>
      <c r="V12" s="58"/>
      <c r="W12" s="59"/>
      <c r="X12" s="48"/>
      <c r="Y12" s="49"/>
      <c r="Z12" s="50"/>
      <c r="AA12" s="51"/>
      <c r="AB12" s="51"/>
      <c r="AC12" s="52"/>
      <c r="AD12" s="54">
        <v>74.9</v>
      </c>
      <c r="AE12" s="55">
        <v>7</v>
      </c>
      <c r="AF12" s="56">
        <v>1200</v>
      </c>
      <c r="AG12" s="58">
        <v>2</v>
      </c>
      <c r="AH12" s="58"/>
      <c r="AI12" s="59"/>
      <c r="AJ12" s="54">
        <v>71.7</v>
      </c>
      <c r="AK12" s="55">
        <v>8.6</v>
      </c>
      <c r="AL12" s="56">
        <v>1500</v>
      </c>
      <c r="AM12" s="57">
        <v>2.4</v>
      </c>
      <c r="AN12" s="58"/>
      <c r="AO12" s="59"/>
      <c r="AP12" s="54"/>
      <c r="AQ12" s="55"/>
      <c r="AR12" s="56"/>
      <c r="AS12" s="58"/>
      <c r="AT12" s="58"/>
      <c r="AU12" s="59"/>
      <c r="AV12" s="54">
        <v>76.2</v>
      </c>
      <c r="AW12" s="60">
        <v>2.03</v>
      </c>
      <c r="AX12" s="56">
        <v>2030</v>
      </c>
      <c r="AY12" s="58"/>
      <c r="AZ12" s="58"/>
      <c r="BA12" s="59"/>
      <c r="BB12" s="54"/>
      <c r="BC12" s="55"/>
      <c r="BD12" s="56"/>
      <c r="BE12" s="58"/>
      <c r="BF12" s="58"/>
      <c r="BG12" s="59"/>
      <c r="BH12" s="54"/>
      <c r="BI12" s="55"/>
      <c r="BJ12" s="56"/>
      <c r="BK12" s="58"/>
      <c r="BL12" s="58"/>
      <c r="BM12" s="59"/>
      <c r="BN12" s="54"/>
      <c r="BO12" s="55"/>
      <c r="BP12" s="56"/>
      <c r="BQ12" s="58"/>
      <c r="BR12" s="58"/>
      <c r="BS12" s="59"/>
    </row>
    <row r="13" spans="1:71" ht="12.75">
      <c r="A13" s="25" t="s">
        <v>88</v>
      </c>
      <c r="B13" s="37"/>
      <c r="C13" s="6"/>
      <c r="D13" s="35" t="s">
        <v>94</v>
      </c>
      <c r="E13" s="47">
        <v>100</v>
      </c>
      <c r="F13" s="48"/>
      <c r="G13" s="49"/>
      <c r="H13" s="50"/>
      <c r="I13" s="51"/>
      <c r="J13" s="51"/>
      <c r="K13" s="52"/>
      <c r="L13" s="54">
        <v>104.9</v>
      </c>
      <c r="M13" s="55">
        <v>4.7</v>
      </c>
      <c r="N13" s="56">
        <v>600</v>
      </c>
      <c r="O13" s="58">
        <v>1.8</v>
      </c>
      <c r="P13" s="58"/>
      <c r="Q13" s="59"/>
      <c r="R13" s="54">
        <v>100.5</v>
      </c>
      <c r="S13" s="55">
        <v>6.9</v>
      </c>
      <c r="T13" s="56">
        <v>900</v>
      </c>
      <c r="U13" s="57">
        <v>2.5</v>
      </c>
      <c r="V13" s="58"/>
      <c r="W13" s="59"/>
      <c r="X13" s="48"/>
      <c r="Y13" s="49"/>
      <c r="Z13" s="50"/>
      <c r="AA13" s="51"/>
      <c r="AB13" s="51"/>
      <c r="AC13" s="52"/>
      <c r="AD13" s="54">
        <v>96.3</v>
      </c>
      <c r="AE13" s="55">
        <v>9</v>
      </c>
      <c r="AF13" s="56">
        <v>1200</v>
      </c>
      <c r="AG13" s="58">
        <v>3.3</v>
      </c>
      <c r="AH13" s="58"/>
      <c r="AI13" s="59"/>
      <c r="AJ13" s="54">
        <v>92.3</v>
      </c>
      <c r="AK13" s="55">
        <v>11</v>
      </c>
      <c r="AL13" s="56">
        <v>1500</v>
      </c>
      <c r="AM13" s="57">
        <v>4</v>
      </c>
      <c r="AN13" s="58"/>
      <c r="AO13" s="59"/>
      <c r="AP13" s="54"/>
      <c r="AQ13" s="55"/>
      <c r="AR13" s="56"/>
      <c r="AS13" s="58"/>
      <c r="AT13" s="58"/>
      <c r="AU13" s="59"/>
      <c r="AV13" s="54">
        <v>101.6</v>
      </c>
      <c r="AW13" s="60">
        <v>2.03</v>
      </c>
      <c r="AX13" s="56">
        <v>1520</v>
      </c>
      <c r="AY13" s="58"/>
      <c r="AZ13" s="58"/>
      <c r="BA13" s="59"/>
      <c r="BB13" s="54"/>
      <c r="BC13" s="55"/>
      <c r="BD13" s="56"/>
      <c r="BE13" s="58"/>
      <c r="BF13" s="58"/>
      <c r="BG13" s="59"/>
      <c r="BH13" s="54"/>
      <c r="BI13" s="55"/>
      <c r="BJ13" s="56"/>
      <c r="BK13" s="58"/>
      <c r="BL13" s="58"/>
      <c r="BM13" s="59"/>
      <c r="BN13" s="54"/>
      <c r="BO13" s="55"/>
      <c r="BP13" s="56"/>
      <c r="BQ13" s="58"/>
      <c r="BR13" s="58"/>
      <c r="BS13" s="59"/>
    </row>
    <row r="14" spans="1:71" ht="13.5" thickBot="1">
      <c r="A14" s="25" t="s">
        <v>90</v>
      </c>
      <c r="B14" s="73"/>
      <c r="C14" s="61"/>
      <c r="D14" s="35" t="s">
        <v>95</v>
      </c>
      <c r="E14" s="47">
        <v>125</v>
      </c>
      <c r="F14" s="48"/>
      <c r="G14" s="49"/>
      <c r="H14" s="50"/>
      <c r="I14" s="51"/>
      <c r="J14" s="51"/>
      <c r="K14" s="52"/>
      <c r="L14" s="48"/>
      <c r="M14" s="49"/>
      <c r="N14" s="50"/>
      <c r="O14" s="51"/>
      <c r="P14" s="51"/>
      <c r="Q14" s="52"/>
      <c r="R14" s="48"/>
      <c r="S14" s="49"/>
      <c r="T14" s="50">
        <v>900</v>
      </c>
      <c r="U14" s="53"/>
      <c r="V14" s="51"/>
      <c r="W14" s="52"/>
      <c r="X14" s="48"/>
      <c r="Y14" s="49"/>
      <c r="Z14" s="50"/>
      <c r="AA14" s="51"/>
      <c r="AB14" s="51"/>
      <c r="AC14" s="52"/>
      <c r="AD14" s="48"/>
      <c r="AE14" s="49"/>
      <c r="AF14" s="50"/>
      <c r="AG14" s="51"/>
      <c r="AH14" s="51"/>
      <c r="AI14" s="52"/>
      <c r="AJ14" s="48"/>
      <c r="AK14" s="49"/>
      <c r="AL14" s="50"/>
      <c r="AM14" s="53"/>
      <c r="AN14" s="51"/>
      <c r="AO14" s="52"/>
      <c r="AP14" s="54"/>
      <c r="AQ14" s="55"/>
      <c r="AR14" s="56"/>
      <c r="AS14" s="58"/>
      <c r="AT14" s="58"/>
      <c r="AU14" s="59"/>
      <c r="AV14" s="54">
        <v>127</v>
      </c>
      <c r="AW14" s="60">
        <v>2.03</v>
      </c>
      <c r="AX14" s="56">
        <v>1210</v>
      </c>
      <c r="AY14" s="58"/>
      <c r="AZ14" s="58"/>
      <c r="BA14" s="59"/>
      <c r="BB14" s="54"/>
      <c r="BC14" s="55"/>
      <c r="BD14" s="56"/>
      <c r="BE14" s="58"/>
      <c r="BF14" s="58"/>
      <c r="BG14" s="59"/>
      <c r="BH14" s="54"/>
      <c r="BI14" s="55"/>
      <c r="BJ14" s="56"/>
      <c r="BK14" s="58"/>
      <c r="BL14" s="58"/>
      <c r="BM14" s="59"/>
      <c r="BN14" s="54"/>
      <c r="BO14" s="55"/>
      <c r="BP14" s="56"/>
      <c r="BQ14" s="58"/>
      <c r="BR14" s="58"/>
      <c r="BS14" s="59"/>
    </row>
    <row r="15" spans="1:71" ht="12.75">
      <c r="A15" s="25" t="s">
        <v>83</v>
      </c>
      <c r="D15" s="35" t="s">
        <v>96</v>
      </c>
      <c r="E15" s="47">
        <v>150</v>
      </c>
      <c r="F15" s="48"/>
      <c r="G15" s="49"/>
      <c r="H15" s="50"/>
      <c r="I15" s="51"/>
      <c r="J15" s="51"/>
      <c r="K15" s="52"/>
      <c r="L15" s="54">
        <v>154.5</v>
      </c>
      <c r="M15" s="55">
        <v>6.9</v>
      </c>
      <c r="N15" s="56">
        <v>600</v>
      </c>
      <c r="O15" s="58">
        <v>3.8</v>
      </c>
      <c r="P15" s="58"/>
      <c r="Q15" s="59"/>
      <c r="R15" s="54">
        <v>148.1</v>
      </c>
      <c r="S15" s="55">
        <v>10.1</v>
      </c>
      <c r="T15" s="56">
        <v>900</v>
      </c>
      <c r="U15" s="57">
        <v>5.4</v>
      </c>
      <c r="V15" s="58"/>
      <c r="W15" s="59"/>
      <c r="X15" s="48"/>
      <c r="Y15" s="49"/>
      <c r="Z15" s="50"/>
      <c r="AA15" s="51"/>
      <c r="AB15" s="51"/>
      <c r="AC15" s="52"/>
      <c r="AD15" s="54">
        <v>141.9</v>
      </c>
      <c r="AE15" s="55">
        <v>13.2</v>
      </c>
      <c r="AF15" s="56">
        <v>1200</v>
      </c>
      <c r="AG15" s="58">
        <v>7</v>
      </c>
      <c r="AH15" s="58"/>
      <c r="AI15" s="59"/>
      <c r="AJ15" s="54">
        <v>135.9</v>
      </c>
      <c r="AK15" s="55">
        <v>16.2</v>
      </c>
      <c r="AL15" s="56">
        <v>1500</v>
      </c>
      <c r="AM15" s="57">
        <v>8.4</v>
      </c>
      <c r="AN15" s="58"/>
      <c r="AO15" s="59"/>
      <c r="AP15" s="54"/>
      <c r="AQ15" s="55"/>
      <c r="AR15" s="56"/>
      <c r="AS15" s="58"/>
      <c r="AT15" s="58"/>
      <c r="AU15" s="59"/>
      <c r="AV15" s="54">
        <v>152.4</v>
      </c>
      <c r="AW15" s="60">
        <v>2.64</v>
      </c>
      <c r="AX15" s="56">
        <v>1310</v>
      </c>
      <c r="AY15" s="58"/>
      <c r="AZ15" s="58"/>
      <c r="BA15" s="59"/>
      <c r="BB15" s="54"/>
      <c r="BC15" s="55"/>
      <c r="BD15" s="56"/>
      <c r="BE15" s="58"/>
      <c r="BF15" s="58"/>
      <c r="BG15" s="59"/>
      <c r="BH15" s="54"/>
      <c r="BI15" s="55"/>
      <c r="BJ15" s="56"/>
      <c r="BK15" s="58"/>
      <c r="BL15" s="58"/>
      <c r="BM15" s="59"/>
      <c r="BN15" s="54"/>
      <c r="BO15" s="55"/>
      <c r="BP15" s="56"/>
      <c r="BQ15" s="58"/>
      <c r="BR15" s="58"/>
      <c r="BS15" s="59"/>
    </row>
    <row r="16" spans="1:71" ht="12.75">
      <c r="A16" s="25"/>
      <c r="D16" s="35" t="s">
        <v>97</v>
      </c>
      <c r="E16" s="47">
        <v>200</v>
      </c>
      <c r="F16" s="62">
        <v>205.5</v>
      </c>
      <c r="G16" s="63">
        <v>6.8</v>
      </c>
      <c r="H16" s="4">
        <v>450</v>
      </c>
      <c r="I16" s="19">
        <v>4.9</v>
      </c>
      <c r="J16" s="40"/>
      <c r="K16" s="41"/>
      <c r="L16" s="54">
        <v>201.2</v>
      </c>
      <c r="M16" s="55">
        <v>9</v>
      </c>
      <c r="N16" s="56">
        <v>600</v>
      </c>
      <c r="O16" s="58">
        <v>6.4</v>
      </c>
      <c r="P16" s="64"/>
      <c r="Q16" s="65"/>
      <c r="R16" s="54">
        <v>192.9</v>
      </c>
      <c r="S16" s="55">
        <v>13.1</v>
      </c>
      <c r="T16" s="56">
        <v>900</v>
      </c>
      <c r="U16" s="57">
        <v>9.2</v>
      </c>
      <c r="V16" s="64"/>
      <c r="W16" s="65"/>
      <c r="X16" s="48"/>
      <c r="Y16" s="49"/>
      <c r="Z16" s="50"/>
      <c r="AA16" s="51"/>
      <c r="AB16" s="66"/>
      <c r="AC16" s="67"/>
      <c r="AD16" s="54">
        <v>184.8</v>
      </c>
      <c r="AE16" s="55">
        <v>17.2</v>
      </c>
      <c r="AF16" s="56">
        <v>1200</v>
      </c>
      <c r="AG16" s="58">
        <v>11.8</v>
      </c>
      <c r="AH16" s="64"/>
      <c r="AI16" s="65"/>
      <c r="AJ16" s="54">
        <v>177.1</v>
      </c>
      <c r="AK16" s="55">
        <v>21</v>
      </c>
      <c r="AL16" s="56">
        <v>1500</v>
      </c>
      <c r="AM16" s="57">
        <v>14.2</v>
      </c>
      <c r="AN16" s="64"/>
      <c r="AO16" s="65"/>
      <c r="AP16" s="54"/>
      <c r="AQ16" s="55"/>
      <c r="AR16" s="56"/>
      <c r="AS16" s="58"/>
      <c r="AT16" s="64"/>
      <c r="AU16" s="65"/>
      <c r="AV16" s="54">
        <v>203.2</v>
      </c>
      <c r="AW16" s="60">
        <v>2.64</v>
      </c>
      <c r="AX16" s="56">
        <v>920</v>
      </c>
      <c r="AY16" s="58"/>
      <c r="AZ16" s="64"/>
      <c r="BA16" s="65"/>
      <c r="BB16" s="54"/>
      <c r="BC16" s="55"/>
      <c r="BD16" s="56"/>
      <c r="BE16" s="58"/>
      <c r="BF16" s="64"/>
      <c r="BG16" s="65"/>
      <c r="BH16" s="54"/>
      <c r="BI16" s="55"/>
      <c r="BJ16" s="56"/>
      <c r="BK16" s="58"/>
      <c r="BL16" s="64"/>
      <c r="BM16" s="65"/>
      <c r="BN16" s="54"/>
      <c r="BO16" s="55"/>
      <c r="BP16" s="56"/>
      <c r="BQ16" s="58"/>
      <c r="BR16" s="64"/>
      <c r="BS16" s="65"/>
    </row>
    <row r="17" spans="1:71" ht="12.75">
      <c r="A17" s="25"/>
      <c r="D17" s="35" t="s">
        <v>98</v>
      </c>
      <c r="E17" s="47">
        <v>250</v>
      </c>
      <c r="F17" s="62">
        <v>238</v>
      </c>
      <c r="G17" s="63">
        <v>6</v>
      </c>
      <c r="H17" s="4">
        <v>450</v>
      </c>
      <c r="I17" s="19">
        <v>5</v>
      </c>
      <c r="J17" s="40"/>
      <c r="K17" s="41"/>
      <c r="L17" s="54">
        <v>234</v>
      </c>
      <c r="M17" s="55">
        <v>7.9</v>
      </c>
      <c r="N17" s="56">
        <v>600</v>
      </c>
      <c r="O17" s="58">
        <v>6.6</v>
      </c>
      <c r="P17" s="64"/>
      <c r="Q17" s="65"/>
      <c r="R17" s="48"/>
      <c r="S17" s="49"/>
      <c r="T17" s="50"/>
      <c r="U17" s="53"/>
      <c r="V17" s="66"/>
      <c r="W17" s="67"/>
      <c r="X17" s="54">
        <v>224</v>
      </c>
      <c r="Y17" s="55">
        <v>12.7</v>
      </c>
      <c r="Z17" s="56">
        <v>1000</v>
      </c>
      <c r="AA17" s="58">
        <v>10.3</v>
      </c>
      <c r="AB17" s="64"/>
      <c r="AC17" s="65"/>
      <c r="AD17" s="54">
        <v>220</v>
      </c>
      <c r="AE17" s="55">
        <v>15</v>
      </c>
      <c r="AF17" s="56">
        <v>1200</v>
      </c>
      <c r="AG17" s="58">
        <v>12.1</v>
      </c>
      <c r="AH17" s="64"/>
      <c r="AI17" s="65"/>
      <c r="AJ17" s="54">
        <v>213</v>
      </c>
      <c r="AK17" s="55">
        <v>18.5</v>
      </c>
      <c r="AL17" s="56">
        <v>1500</v>
      </c>
      <c r="AM17" s="57">
        <v>14.6</v>
      </c>
      <c r="AN17" s="64"/>
      <c r="AO17" s="65"/>
      <c r="AP17" s="54"/>
      <c r="AQ17" s="55"/>
      <c r="AR17" s="56"/>
      <c r="AS17" s="58"/>
      <c r="AT17" s="64"/>
      <c r="AU17" s="65"/>
      <c r="AV17" s="54"/>
      <c r="AW17" s="60"/>
      <c r="AX17" s="56"/>
      <c r="AY17" s="58"/>
      <c r="AZ17" s="64"/>
      <c r="BA17" s="65"/>
      <c r="BB17" s="54"/>
      <c r="BC17" s="55"/>
      <c r="BD17" s="56"/>
      <c r="BE17" s="58"/>
      <c r="BF17" s="64"/>
      <c r="BG17" s="65"/>
      <c r="BH17" s="54"/>
      <c r="BI17" s="55"/>
      <c r="BJ17" s="56"/>
      <c r="BK17" s="58"/>
      <c r="BL17" s="64"/>
      <c r="BM17" s="65"/>
      <c r="BN17" s="54"/>
      <c r="BO17" s="55"/>
      <c r="BP17" s="56"/>
      <c r="BQ17" s="58"/>
      <c r="BR17" s="64"/>
      <c r="BS17" s="65"/>
    </row>
    <row r="18" spans="1:71" ht="12.75">
      <c r="A18" s="25"/>
      <c r="D18" s="39"/>
      <c r="E18" s="47">
        <v>300</v>
      </c>
      <c r="F18" s="62">
        <v>300</v>
      </c>
      <c r="G18" s="63">
        <v>7.5</v>
      </c>
      <c r="H18" s="4">
        <v>450</v>
      </c>
      <c r="I18" s="19">
        <v>7.8</v>
      </c>
      <c r="J18" s="40"/>
      <c r="K18" s="41"/>
      <c r="L18" s="62">
        <v>295</v>
      </c>
      <c r="M18" s="63">
        <v>9.8</v>
      </c>
      <c r="N18" s="56">
        <v>600</v>
      </c>
      <c r="O18" s="19">
        <v>10.2</v>
      </c>
      <c r="P18" s="40"/>
      <c r="Q18" s="41"/>
      <c r="R18" s="48"/>
      <c r="S18" s="49"/>
      <c r="T18" s="50"/>
      <c r="U18" s="53"/>
      <c r="V18" s="66"/>
      <c r="W18" s="67"/>
      <c r="X18" s="62">
        <v>283</v>
      </c>
      <c r="Y18" s="63">
        <v>16</v>
      </c>
      <c r="Z18" s="56">
        <v>1000</v>
      </c>
      <c r="AA18" s="19">
        <v>16.3</v>
      </c>
      <c r="AB18" s="40"/>
      <c r="AC18" s="41"/>
      <c r="AD18" s="62">
        <v>277</v>
      </c>
      <c r="AE18" s="63">
        <v>18.9</v>
      </c>
      <c r="AF18" s="56">
        <v>1200</v>
      </c>
      <c r="AG18" s="19">
        <v>19.1</v>
      </c>
      <c r="AH18" s="40"/>
      <c r="AI18" s="41"/>
      <c r="AJ18" s="62">
        <v>268</v>
      </c>
      <c r="AK18" s="63">
        <v>23.3</v>
      </c>
      <c r="AL18" s="56">
        <v>1500</v>
      </c>
      <c r="AM18" s="12">
        <v>23.2</v>
      </c>
      <c r="AN18" s="40"/>
      <c r="AO18" s="41"/>
      <c r="AP18" s="62"/>
      <c r="AQ18" s="63"/>
      <c r="AR18" s="4"/>
      <c r="AS18" s="19"/>
      <c r="AT18" s="40"/>
      <c r="AU18" s="41"/>
      <c r="AV18" s="62"/>
      <c r="AW18" s="18"/>
      <c r="AX18" s="4"/>
      <c r="AY18" s="19"/>
      <c r="AZ18" s="40"/>
      <c r="BA18" s="41"/>
      <c r="BB18" s="62"/>
      <c r="BC18" s="63"/>
      <c r="BD18" s="4"/>
      <c r="BE18" s="19"/>
      <c r="BF18" s="40"/>
      <c r="BG18" s="41"/>
      <c r="BH18" s="62"/>
      <c r="BI18" s="63"/>
      <c r="BJ18" s="4"/>
      <c r="BK18" s="19"/>
      <c r="BL18" s="40"/>
      <c r="BM18" s="41"/>
      <c r="BN18" s="62"/>
      <c r="BO18" s="63"/>
      <c r="BP18" s="4"/>
      <c r="BQ18" s="19"/>
      <c r="BR18" s="40"/>
      <c r="BS18" s="41"/>
    </row>
    <row r="19" spans="1:71" ht="13.5" thickBot="1">
      <c r="A19" s="26"/>
      <c r="D19" s="39"/>
      <c r="E19" s="47">
        <v>350</v>
      </c>
      <c r="F19" s="62">
        <v>338</v>
      </c>
      <c r="G19" s="63">
        <v>8.4</v>
      </c>
      <c r="H19" s="4">
        <v>450</v>
      </c>
      <c r="I19" s="19">
        <v>9.9</v>
      </c>
      <c r="J19" s="40"/>
      <c r="K19" s="41"/>
      <c r="L19" s="62">
        <v>333</v>
      </c>
      <c r="M19" s="63">
        <v>11.1</v>
      </c>
      <c r="N19" s="56">
        <v>600</v>
      </c>
      <c r="O19" s="19">
        <v>13</v>
      </c>
      <c r="P19" s="40"/>
      <c r="Q19" s="41"/>
      <c r="R19" s="48"/>
      <c r="S19" s="49"/>
      <c r="T19" s="50"/>
      <c r="U19" s="53"/>
      <c r="V19" s="66"/>
      <c r="W19" s="67"/>
      <c r="X19" s="62">
        <v>319</v>
      </c>
      <c r="Y19" s="63">
        <v>18</v>
      </c>
      <c r="Z19" s="56">
        <v>1000</v>
      </c>
      <c r="AA19" s="19">
        <v>20.6</v>
      </c>
      <c r="AB19" s="40"/>
      <c r="AC19" s="41"/>
      <c r="AD19" s="62">
        <v>312</v>
      </c>
      <c r="AE19" s="63">
        <v>21.3</v>
      </c>
      <c r="AF19" s="56">
        <v>1200</v>
      </c>
      <c r="AG19" s="19">
        <v>24.2</v>
      </c>
      <c r="AH19" s="40"/>
      <c r="AI19" s="41"/>
      <c r="AJ19" s="62">
        <v>302</v>
      </c>
      <c r="AK19" s="63">
        <v>26.2</v>
      </c>
      <c r="AL19" s="56">
        <v>1500</v>
      </c>
      <c r="AM19" s="12">
        <v>29.4</v>
      </c>
      <c r="AN19" s="40"/>
      <c r="AO19" s="41"/>
      <c r="AP19" s="62"/>
      <c r="AQ19" s="63"/>
      <c r="AR19" s="4"/>
      <c r="AS19" s="19"/>
      <c r="AT19" s="40"/>
      <c r="AU19" s="41"/>
      <c r="AV19" s="62"/>
      <c r="AW19" s="18"/>
      <c r="AX19" s="4"/>
      <c r="AY19" s="19"/>
      <c r="AZ19" s="40"/>
      <c r="BA19" s="41"/>
      <c r="BB19" s="62"/>
      <c r="BC19" s="63"/>
      <c r="BD19" s="4"/>
      <c r="BE19" s="19"/>
      <c r="BF19" s="40"/>
      <c r="BG19" s="41"/>
      <c r="BH19" s="62"/>
      <c r="BI19" s="63"/>
      <c r="BJ19" s="4"/>
      <c r="BK19" s="19"/>
      <c r="BL19" s="40"/>
      <c r="BM19" s="41"/>
      <c r="BN19" s="62"/>
      <c r="BO19" s="63"/>
      <c r="BP19" s="4"/>
      <c r="BQ19" s="19"/>
      <c r="BR19" s="40"/>
      <c r="BS19" s="41"/>
    </row>
    <row r="20" spans="4:71" ht="12.75">
      <c r="D20" s="39"/>
      <c r="E20" s="47">
        <v>400</v>
      </c>
      <c r="F20" s="62">
        <v>381</v>
      </c>
      <c r="G20" s="63">
        <v>9.4</v>
      </c>
      <c r="H20" s="4">
        <v>450</v>
      </c>
      <c r="I20" s="19">
        <v>12.6</v>
      </c>
      <c r="J20" s="40"/>
      <c r="K20" s="41"/>
      <c r="L20" s="62">
        <v>375</v>
      </c>
      <c r="M20" s="63">
        <v>12.4</v>
      </c>
      <c r="N20" s="56">
        <v>600</v>
      </c>
      <c r="O20" s="19">
        <v>16.4</v>
      </c>
      <c r="P20" s="40"/>
      <c r="Q20" s="41"/>
      <c r="R20" s="48"/>
      <c r="S20" s="49"/>
      <c r="T20" s="50"/>
      <c r="U20" s="53"/>
      <c r="V20" s="66"/>
      <c r="W20" s="67"/>
      <c r="X20" s="62">
        <v>360</v>
      </c>
      <c r="Y20" s="63">
        <v>20.2</v>
      </c>
      <c r="Z20" s="56">
        <v>1000</v>
      </c>
      <c r="AA20" s="19">
        <v>26.1</v>
      </c>
      <c r="AB20" s="40"/>
      <c r="AC20" s="41"/>
      <c r="AD20" s="62">
        <v>352</v>
      </c>
      <c r="AE20" s="63">
        <v>23.9</v>
      </c>
      <c r="AF20" s="56">
        <v>1200</v>
      </c>
      <c r="AG20" s="19">
        <v>30.7</v>
      </c>
      <c r="AH20" s="40"/>
      <c r="AI20" s="41"/>
      <c r="AJ20" s="62">
        <v>341</v>
      </c>
      <c r="AK20" s="63">
        <v>29.5</v>
      </c>
      <c r="AL20" s="56">
        <v>1500</v>
      </c>
      <c r="AM20" s="12">
        <v>37.2</v>
      </c>
      <c r="AN20" s="40"/>
      <c r="AO20" s="41"/>
      <c r="AP20" s="62"/>
      <c r="AQ20" s="63"/>
      <c r="AR20" s="4"/>
      <c r="AS20" s="19"/>
      <c r="AT20" s="40"/>
      <c r="AU20" s="41"/>
      <c r="AV20" s="62"/>
      <c r="AW20" s="18"/>
      <c r="AX20" s="4"/>
      <c r="AY20" s="19"/>
      <c r="AZ20" s="40"/>
      <c r="BA20" s="41"/>
      <c r="BB20" s="62"/>
      <c r="BC20" s="63"/>
      <c r="BD20" s="4"/>
      <c r="BE20" s="19"/>
      <c r="BF20" s="40"/>
      <c r="BG20" s="41"/>
      <c r="BH20" s="62"/>
      <c r="BI20" s="63"/>
      <c r="BJ20" s="4"/>
      <c r="BK20" s="19"/>
      <c r="BL20" s="40"/>
      <c r="BM20" s="41"/>
      <c r="BN20" s="62"/>
      <c r="BO20" s="63"/>
      <c r="BP20" s="4"/>
      <c r="BQ20" s="19"/>
      <c r="BR20" s="40"/>
      <c r="BS20" s="41"/>
    </row>
    <row r="21" spans="4:71" ht="12.75">
      <c r="D21" s="39"/>
      <c r="E21" s="47">
        <v>450</v>
      </c>
      <c r="F21" s="62">
        <v>429</v>
      </c>
      <c r="G21" s="63">
        <v>10.6</v>
      </c>
      <c r="H21" s="4">
        <v>450</v>
      </c>
      <c r="I21" s="19">
        <v>15.9</v>
      </c>
      <c r="J21" s="40"/>
      <c r="K21" s="41"/>
      <c r="L21" s="62">
        <v>422</v>
      </c>
      <c r="M21" s="63">
        <v>14</v>
      </c>
      <c r="N21" s="56">
        <v>600</v>
      </c>
      <c r="O21" s="19">
        <v>20.8</v>
      </c>
      <c r="P21" s="40"/>
      <c r="Q21" s="41"/>
      <c r="R21" s="48"/>
      <c r="S21" s="49"/>
      <c r="T21" s="50"/>
      <c r="U21" s="53"/>
      <c r="V21" s="66"/>
      <c r="W21" s="67"/>
      <c r="X21" s="62">
        <v>405</v>
      </c>
      <c r="Y21" s="63">
        <v>22.7</v>
      </c>
      <c r="Z21" s="56">
        <v>1000</v>
      </c>
      <c r="AA21" s="19">
        <v>33</v>
      </c>
      <c r="AB21" s="40"/>
      <c r="AC21" s="41"/>
      <c r="AD21" s="62">
        <v>396</v>
      </c>
      <c r="AE21" s="63">
        <v>27</v>
      </c>
      <c r="AF21" s="56">
        <v>1200</v>
      </c>
      <c r="AG21" s="19">
        <v>38.9</v>
      </c>
      <c r="AH21" s="40"/>
      <c r="AI21" s="41"/>
      <c r="AJ21" s="62">
        <v>384</v>
      </c>
      <c r="AK21" s="63">
        <v>33.2</v>
      </c>
      <c r="AL21" s="56">
        <v>1500</v>
      </c>
      <c r="AM21" s="12">
        <v>47.1</v>
      </c>
      <c r="AN21" s="40"/>
      <c r="AO21" s="41"/>
      <c r="AP21" s="62"/>
      <c r="AQ21" s="63"/>
      <c r="AR21" s="4"/>
      <c r="AS21" s="19"/>
      <c r="AT21" s="40"/>
      <c r="AU21" s="41"/>
      <c r="AV21" s="62"/>
      <c r="AW21" s="18"/>
      <c r="AX21" s="4"/>
      <c r="AY21" s="19"/>
      <c r="AZ21" s="40"/>
      <c r="BA21" s="41"/>
      <c r="BB21" s="62"/>
      <c r="BC21" s="63"/>
      <c r="BD21" s="4"/>
      <c r="BE21" s="19"/>
      <c r="BF21" s="40"/>
      <c r="BG21" s="41"/>
      <c r="BH21" s="62"/>
      <c r="BI21" s="63"/>
      <c r="BJ21" s="4"/>
      <c r="BK21" s="19"/>
      <c r="BL21" s="40"/>
      <c r="BM21" s="41"/>
      <c r="BN21" s="62"/>
      <c r="BO21" s="63"/>
      <c r="BP21" s="4"/>
      <c r="BQ21" s="19"/>
      <c r="BR21" s="40"/>
      <c r="BS21" s="41"/>
    </row>
    <row r="22" spans="4:71" ht="13.5" thickBot="1">
      <c r="D22" s="43"/>
      <c r="E22" s="47">
        <v>500</v>
      </c>
      <c r="F22" s="62">
        <v>476</v>
      </c>
      <c r="G22" s="63">
        <v>11.8</v>
      </c>
      <c r="H22" s="4">
        <v>450</v>
      </c>
      <c r="I22" s="19">
        <v>19.6</v>
      </c>
      <c r="J22" s="40"/>
      <c r="K22" s="41"/>
      <c r="L22" s="62">
        <v>469</v>
      </c>
      <c r="M22" s="63">
        <v>15.5</v>
      </c>
      <c r="N22" s="56">
        <v>600</v>
      </c>
      <c r="O22" s="19">
        <v>25.5</v>
      </c>
      <c r="P22" s="40"/>
      <c r="Q22" s="41"/>
      <c r="R22" s="48"/>
      <c r="S22" s="49"/>
      <c r="T22" s="50"/>
      <c r="U22" s="53"/>
      <c r="V22" s="66"/>
      <c r="W22" s="67"/>
      <c r="X22" s="62">
        <v>450</v>
      </c>
      <c r="Y22" s="63">
        <v>25.2</v>
      </c>
      <c r="Z22" s="56">
        <v>1000</v>
      </c>
      <c r="AA22" s="19">
        <v>40.7</v>
      </c>
      <c r="AB22" s="40"/>
      <c r="AC22" s="41"/>
      <c r="AD22" s="48"/>
      <c r="AE22" s="49"/>
      <c r="AF22" s="50"/>
      <c r="AG22" s="51"/>
      <c r="AH22" s="66"/>
      <c r="AI22" s="67"/>
      <c r="AJ22" s="48"/>
      <c r="AK22" s="49"/>
      <c r="AL22" s="50"/>
      <c r="AM22" s="53"/>
      <c r="AN22" s="66"/>
      <c r="AO22" s="67"/>
      <c r="AP22" s="62"/>
      <c r="AQ22" s="63"/>
      <c r="AR22" s="4"/>
      <c r="AS22" s="19"/>
      <c r="AT22" s="40"/>
      <c r="AU22" s="41"/>
      <c r="AV22" s="62"/>
      <c r="AW22" s="18"/>
      <c r="AX22" s="4"/>
      <c r="AY22" s="19"/>
      <c r="AZ22" s="40"/>
      <c r="BA22" s="41"/>
      <c r="BB22" s="62"/>
      <c r="BC22" s="63"/>
      <c r="BD22" s="4"/>
      <c r="BE22" s="19"/>
      <c r="BF22" s="40"/>
      <c r="BG22" s="41"/>
      <c r="BH22" s="62"/>
      <c r="BI22" s="63"/>
      <c r="BJ22" s="4"/>
      <c r="BK22" s="19"/>
      <c r="BL22" s="40"/>
      <c r="BM22" s="41"/>
      <c r="BN22" s="62"/>
      <c r="BO22" s="63"/>
      <c r="BP22" s="4"/>
      <c r="BQ22" s="19"/>
      <c r="BR22" s="40"/>
      <c r="BS22" s="41"/>
    </row>
    <row r="23" spans="4:71" ht="12.75">
      <c r="D23" s="38"/>
      <c r="E23" s="47">
        <v>550</v>
      </c>
      <c r="F23" s="62">
        <v>534</v>
      </c>
      <c r="G23" s="63">
        <v>13.1</v>
      </c>
      <c r="H23" s="4">
        <v>450</v>
      </c>
      <c r="I23" s="19">
        <v>24.5</v>
      </c>
      <c r="J23" s="40"/>
      <c r="K23" s="41"/>
      <c r="L23" s="62">
        <v>525</v>
      </c>
      <c r="M23" s="63">
        <v>17.4</v>
      </c>
      <c r="N23" s="56">
        <v>600</v>
      </c>
      <c r="O23" s="19">
        <v>32.1</v>
      </c>
      <c r="P23" s="40"/>
      <c r="Q23" s="41"/>
      <c r="R23" s="48"/>
      <c r="S23" s="49"/>
      <c r="T23" s="50"/>
      <c r="U23" s="53"/>
      <c r="V23" s="66"/>
      <c r="W23" s="67"/>
      <c r="X23" s="48"/>
      <c r="Y23" s="49"/>
      <c r="Z23" s="50"/>
      <c r="AA23" s="51"/>
      <c r="AB23" s="66"/>
      <c r="AC23" s="67"/>
      <c r="AD23" s="48"/>
      <c r="AE23" s="49"/>
      <c r="AF23" s="50"/>
      <c r="AG23" s="51"/>
      <c r="AH23" s="66"/>
      <c r="AI23" s="67"/>
      <c r="AJ23" s="48"/>
      <c r="AK23" s="49"/>
      <c r="AL23" s="50"/>
      <c r="AM23" s="53"/>
      <c r="AN23" s="66"/>
      <c r="AO23" s="67"/>
      <c r="AP23" s="62"/>
      <c r="AQ23" s="63"/>
      <c r="AR23" s="4"/>
      <c r="AS23" s="19"/>
      <c r="AT23" s="40"/>
      <c r="AU23" s="41"/>
      <c r="AV23" s="62"/>
      <c r="AW23" s="18"/>
      <c r="AX23" s="4"/>
      <c r="AY23" s="19"/>
      <c r="AZ23" s="40"/>
      <c r="BA23" s="41"/>
      <c r="BB23" s="62"/>
      <c r="BC23" s="63"/>
      <c r="BD23" s="4"/>
      <c r="BE23" s="19"/>
      <c r="BF23" s="40"/>
      <c r="BG23" s="41"/>
      <c r="BH23" s="62"/>
      <c r="BI23" s="63"/>
      <c r="BJ23" s="4"/>
      <c r="BK23" s="19"/>
      <c r="BL23" s="40"/>
      <c r="BM23" s="41"/>
      <c r="BN23" s="62"/>
      <c r="BO23" s="63"/>
      <c r="BP23" s="4"/>
      <c r="BQ23" s="19"/>
      <c r="BR23" s="40"/>
      <c r="BS23" s="41"/>
    </row>
    <row r="24" spans="4:71" ht="13.5" thickBot="1">
      <c r="D24" s="38"/>
      <c r="E24" s="68">
        <v>600</v>
      </c>
      <c r="F24" s="62">
        <v>601</v>
      </c>
      <c r="G24" s="63">
        <v>14.7</v>
      </c>
      <c r="H24" s="4">
        <v>450</v>
      </c>
      <c r="I24" s="19">
        <v>30.8</v>
      </c>
      <c r="J24" s="40"/>
      <c r="K24" s="41"/>
      <c r="L24" s="62">
        <v>591</v>
      </c>
      <c r="M24" s="63">
        <v>19.5</v>
      </c>
      <c r="N24" s="56">
        <v>600</v>
      </c>
      <c r="O24" s="19">
        <v>40.4</v>
      </c>
      <c r="P24" s="40"/>
      <c r="Q24" s="41"/>
      <c r="R24" s="48"/>
      <c r="S24" s="49"/>
      <c r="T24" s="50"/>
      <c r="U24" s="53"/>
      <c r="V24" s="66"/>
      <c r="W24" s="67"/>
      <c r="X24" s="48"/>
      <c r="Y24" s="49"/>
      <c r="Z24" s="50"/>
      <c r="AA24" s="51"/>
      <c r="AB24" s="66"/>
      <c r="AC24" s="67"/>
      <c r="AD24" s="48"/>
      <c r="AE24" s="49"/>
      <c r="AF24" s="50"/>
      <c r="AG24" s="51"/>
      <c r="AH24" s="66"/>
      <c r="AI24" s="67"/>
      <c r="AJ24" s="48"/>
      <c r="AK24" s="49"/>
      <c r="AL24" s="50"/>
      <c r="AM24" s="53"/>
      <c r="AN24" s="66"/>
      <c r="AO24" s="67"/>
      <c r="AP24" s="62"/>
      <c r="AQ24" s="63"/>
      <c r="AR24" s="4"/>
      <c r="AS24" s="19"/>
      <c r="AT24" s="40"/>
      <c r="AU24" s="41"/>
      <c r="AV24" s="62"/>
      <c r="AW24" s="18"/>
      <c r="AX24" s="4"/>
      <c r="AY24" s="19"/>
      <c r="AZ24" s="40"/>
      <c r="BA24" s="41"/>
      <c r="BB24" s="62"/>
      <c r="BC24" s="63"/>
      <c r="BD24" s="4"/>
      <c r="BE24" s="19"/>
      <c r="BF24" s="40"/>
      <c r="BG24" s="41"/>
      <c r="BH24" s="62"/>
      <c r="BI24" s="63"/>
      <c r="BJ24" s="4"/>
      <c r="BK24" s="19"/>
      <c r="BL24" s="40"/>
      <c r="BM24" s="41"/>
      <c r="BN24" s="62"/>
      <c r="BO24" s="63"/>
      <c r="BP24" s="4"/>
      <c r="BQ24" s="19"/>
      <c r="BR24" s="40"/>
      <c r="BS24" s="41"/>
    </row>
    <row r="25" spans="4:71" ht="14.25" thickBot="1" thickTop="1">
      <c r="D25" s="38"/>
      <c r="E25" s="69"/>
      <c r="F25" s="217" t="s">
        <v>99</v>
      </c>
      <c r="G25" s="218"/>
      <c r="H25" s="70"/>
      <c r="I25" s="71"/>
      <c r="J25" s="72"/>
      <c r="K25" s="72"/>
      <c r="L25" s="217" t="s">
        <v>99</v>
      </c>
      <c r="M25" s="218"/>
      <c r="N25" s="70"/>
      <c r="O25" s="71"/>
      <c r="P25" s="72"/>
      <c r="Q25" s="72"/>
      <c r="R25" s="217" t="s">
        <v>99</v>
      </c>
      <c r="S25" s="218"/>
      <c r="T25" s="70"/>
      <c r="U25" s="71"/>
      <c r="V25" s="72"/>
      <c r="W25" s="72"/>
      <c r="X25" s="217" t="s">
        <v>99</v>
      </c>
      <c r="Y25" s="218"/>
      <c r="Z25" s="70"/>
      <c r="AA25" s="71"/>
      <c r="AB25" s="72"/>
      <c r="AC25" s="72"/>
      <c r="AD25" s="217" t="s">
        <v>99</v>
      </c>
      <c r="AE25" s="218"/>
      <c r="AF25" s="70"/>
      <c r="AG25" s="71"/>
      <c r="AH25" s="72"/>
      <c r="AI25" s="72"/>
      <c r="AJ25" s="217" t="s">
        <v>99</v>
      </c>
      <c r="AK25" s="218"/>
      <c r="AL25" s="70"/>
      <c r="AM25" s="71"/>
      <c r="AN25" s="72"/>
      <c r="AO25" s="72"/>
      <c r="AP25" s="217" t="s">
        <v>99</v>
      </c>
      <c r="AQ25" s="218"/>
      <c r="AR25" s="70"/>
      <c r="AS25" s="71"/>
      <c r="AT25" s="72"/>
      <c r="AU25" s="72"/>
      <c r="AV25" s="217" t="s">
        <v>99</v>
      </c>
      <c r="AW25" s="218"/>
      <c r="AX25" s="70"/>
      <c r="AY25" s="71"/>
      <c r="AZ25" s="72"/>
      <c r="BA25" s="72"/>
      <c r="BB25" s="217" t="s">
        <v>99</v>
      </c>
      <c r="BC25" s="218"/>
      <c r="BD25" s="70"/>
      <c r="BE25" s="71"/>
      <c r="BF25" s="72"/>
      <c r="BG25" s="72"/>
      <c r="BH25" s="217" t="s">
        <v>99</v>
      </c>
      <c r="BI25" s="218"/>
      <c r="BJ25" s="70"/>
      <c r="BK25" s="71"/>
      <c r="BL25" s="72"/>
      <c r="BM25" s="72"/>
      <c r="BN25" s="217" t="s">
        <v>99</v>
      </c>
      <c r="BO25" s="218"/>
      <c r="BP25" s="70"/>
      <c r="BQ25" s="71"/>
      <c r="BR25" s="72"/>
      <c r="BS25" s="72"/>
    </row>
    <row r="26" ht="12.75">
      <c r="D26" s="38"/>
    </row>
    <row r="27" ht="12.75">
      <c r="D27" s="5"/>
    </row>
    <row r="28" ht="12.75">
      <c r="D28" s="5"/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3" ht="12.75">
      <c r="D33" s="5"/>
    </row>
    <row r="34" ht="12.75">
      <c r="D34" s="5"/>
    </row>
    <row r="35" ht="12.75">
      <c r="D35" s="5"/>
    </row>
  </sheetData>
  <sheetProtection/>
  <mergeCells count="22">
    <mergeCell ref="F25:G25"/>
    <mergeCell ref="F2:K2"/>
    <mergeCell ref="L2:Q2"/>
    <mergeCell ref="R2:W2"/>
    <mergeCell ref="X2:AC2"/>
    <mergeCell ref="AJ25:AK25"/>
    <mergeCell ref="L25:M25"/>
    <mergeCell ref="R25:S25"/>
    <mergeCell ref="X25:Y25"/>
    <mergeCell ref="AV25:AW25"/>
    <mergeCell ref="AP25:AQ25"/>
    <mergeCell ref="AD2:AI2"/>
    <mergeCell ref="AJ2:AO2"/>
    <mergeCell ref="AP2:AU2"/>
    <mergeCell ref="AV2:BA2"/>
    <mergeCell ref="AD25:AE25"/>
    <mergeCell ref="BB25:BC25"/>
    <mergeCell ref="BH25:BI25"/>
    <mergeCell ref="BN25:BO25"/>
    <mergeCell ref="BB2:BG2"/>
    <mergeCell ref="BH2:BM2"/>
    <mergeCell ref="BN2:BS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 Smith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  - Chilled Water Schematic</dc:title>
  <dc:subject>Chilled Water Schematic</dc:subject>
  <dc:creator>Cameron Robbins</dc:creator>
  <cp:keywords/>
  <dc:description>VBA code still being modified to suit project. Pipework layout still to be finished around secondary pumps.</dc:description>
  <cp:lastModifiedBy>HP i7</cp:lastModifiedBy>
  <cp:lastPrinted>2015-03-29T14:10:10Z</cp:lastPrinted>
  <dcterms:created xsi:type="dcterms:W3CDTF">1998-02-14T22:16:57Z</dcterms:created>
  <dcterms:modified xsi:type="dcterms:W3CDTF">2020-10-31T10:49:49Z</dcterms:modified>
  <cp:category/>
  <cp:version/>
  <cp:contentType/>
  <cp:contentStatus/>
</cp:coreProperties>
</file>